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9" activeTab="14"/>
  </bookViews>
  <sheets>
    <sheet name="Восточная 1" sheetId="1" r:id="rId1"/>
    <sheet name="Восточная 2" sheetId="2" r:id="rId2"/>
    <sheet name="Восточная 3" sheetId="3" r:id="rId3"/>
    <sheet name="Восточная 4" sheetId="4" r:id="rId4"/>
    <sheet name="Восточная 4а" sheetId="5" r:id="rId5"/>
    <sheet name="Восточная 4б" sheetId="6" r:id="rId6"/>
    <sheet name="Восточная 6а" sheetId="7" r:id="rId7"/>
    <sheet name="Восточный 25" sheetId="8" r:id="rId8"/>
    <sheet name="Комсомольская 4" sheetId="9" r:id="rId9"/>
    <sheet name="Комсомольская 6" sheetId="10" r:id="rId10"/>
    <sheet name="Спортивная 25" sheetId="11" r:id="rId11"/>
    <sheet name="Спортивная 43" sheetId="12" r:id="rId12"/>
    <sheet name="Спортивная 45" sheetId="13" r:id="rId13"/>
    <sheet name="Спортивная 47" sheetId="14" r:id="rId14"/>
    <sheet name="Спортивная 47б" sheetId="15" r:id="rId15"/>
  </sheets>
  <definedNames>
    <definedName name="_xlnm.Print_Titles" localSheetId="0">'Восточная 1'!$11:$11</definedName>
    <definedName name="_xlnm.Print_Titles" localSheetId="2">'Восточная 3'!$15:$15</definedName>
  </definedNames>
  <calcPr fullCalcOnLoad="1"/>
</workbook>
</file>

<file path=xl/sharedStrings.xml><?xml version="1.0" encoding="utf-8"?>
<sst xmlns="http://schemas.openxmlformats.org/spreadsheetml/2006/main" count="2625" uniqueCount="166">
  <si>
    <t>№пп</t>
  </si>
  <si>
    <t>Формовочная обрезка деревьев</t>
  </si>
  <si>
    <t>Вырезка сухих ветвей и поросли</t>
  </si>
  <si>
    <t>Очистка от наледи и льда водосточных труб</t>
  </si>
  <si>
    <t>Очистка кровли от мусора, листьев</t>
  </si>
  <si>
    <t xml:space="preserve">                             </t>
  </si>
  <si>
    <t>I. КОНСТРУКТИВНЫЕ ЭЛЕМЕНТЫ</t>
  </si>
  <si>
    <t xml:space="preserve">Осмотр территории вокруг здания и фундамента    (проверка соответствия параметров вертикальной планировки территории вокруг здания проектным параметрам; проверка технического состояния видимых частей конструкций для выявления признаков неравномерных осадок фундаментов, коррозии арматуры, расслаивания, трещин, выпучивания; проверка состояния гидроизоляции фундамента и системы водоотвода фундамента, продухов) </t>
  </si>
  <si>
    <t>Осмотр устройства системы центрального отопления в  подвальных помещениях (проверка температурно-влажностного режима подвальных помещений; проверка состояния регулирующих кранов и вентилей, задвижек; проверка состояния креплений, подвесок и прокладок-подставок для магистрального трубопровода в подвале, теплоизоляции; проверка состояния помещений подвала, входов в подвалы и приямков, принятие мер, исключающих подтопление, захламление, загрязнение и загромождение этих помещений; обеспечение вентиляции; контроль за состоянием дверей подвала, запорных устройств на них; устранение выявленных неисправностей.)</t>
  </si>
  <si>
    <r>
      <t>Осмотр</t>
    </r>
    <r>
      <rPr>
        <b/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стен с целью выявления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проверка наличия следов коррозии, деформаций и трещин в местах расположения арматуры и закладных деталей, наличия трещин в местах сопряжения между собой и с капитальными стенами, перекрытиями, дверными коробками; выявление повреждений в кладке, наличия и характера трещин, выветривания, отклонения от вертикали и выпучивания отдельных участков стен , нарушения связей между отдельными конструкциями, проверка звукоизоляции и огнезащиты)</t>
    </r>
  </si>
  <si>
    <t>Осмотр перекрытий и покрытий с целью выявления нарушений условий эксплуатации, несанкционированных  изменений конструктивного решения, выявление прогибов, трещин и колебаний;   выявление наличия, характера и величины трещин в теле перекрытия, в сводах и в местах примыканий к стенам; отслоения защитного слоя бетона, оголения и коррозии арматуры; выявление наличия  смещения плит по высоте, отслоения выравнивающего слоя в заделке швов, следов протечек или промерзаний на плитах и на стенах в местах опирания; выявление изменения состояния кладки, зыбкости перекрытия, следов протечек на потолке; проверка состояния утеплителя, гидроизоляции и звукоизоляции, адгезии отделочных слоев к конструкциям перекрытия (покрытия)).</t>
  </si>
  <si>
    <r>
      <t xml:space="preserve">Осмотр с целью выявления нарушений условий эксплуатации, несанкционированных  изменений конструктивного решения, потери устойчивости, наличия, характера и величины трещин, выпучивания, отклонения от вертикали; контроль состояния и выявление коррозии арматуры и арматурной сетки, отслоения защитного слоя бетона, оголения арматуры и нарушения её сцепления с бетоном, глубоких сколов бетона в домах со сборными и монолитными железобетонными колоннами; </t>
    </r>
    <r>
      <rPr>
        <sz val="11"/>
        <rFont val="Times New Roman"/>
        <family val="1"/>
      </rPr>
  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рядок кладки по горизонтальным швам в домах с кирпичными столбами; контроль состояния металлических закладных деталей в домах со сборными железобетонными колоннами.</t>
    </r>
  </si>
  <si>
    <r>
      <t>Осмотр перегородок с целью выявления зыбкости, выпучивания,</t>
    </r>
    <r>
      <rPr>
        <sz val="11"/>
        <color indexed="60"/>
        <rFont val="Times New Roman"/>
        <family val="1"/>
      </rPr>
      <t xml:space="preserve"> </t>
    </r>
    <r>
      <rPr>
        <sz val="11"/>
        <rFont val="Times New Roman"/>
        <family val="1"/>
      </rPr>
      <t>наличия трещин в теле перегородок и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огнезащиты)</t>
    </r>
  </si>
  <si>
    <t>Осмотр внутренней отделки дома (выявление наличия трещин и повреждений внутренней отделки, наличия сырых пятен и ржавых потеков на поверхности стен, перегородок)</t>
  </si>
  <si>
    <t>Проверка состояния основания, поверхностного слоя</t>
  </si>
  <si>
    <t>Утепление тепловых узлов</t>
  </si>
  <si>
    <t>Постоянно</t>
  </si>
  <si>
    <t>Очистка кровли от скопления снега и наледи, сбивание сосулек</t>
  </si>
  <si>
    <t xml:space="preserve">                         Общая площадь дома (без учета балконов), кв.м:</t>
  </si>
  <si>
    <t xml:space="preserve">Работы,выполняемые в отношении фундамента </t>
  </si>
  <si>
    <t xml:space="preserve">Работы,выполняемые в отношении подвала </t>
  </si>
  <si>
    <t xml:space="preserve">Работы,выполняемые для надлежащего содержания стен </t>
  </si>
  <si>
    <t>Работы,выполняемые в целях надлежащего содержания перекрытий и покрытий</t>
  </si>
  <si>
    <t>Работы,выполняемые в целях надлежащего содержания балок (ригелей) перекрытий и покрытий</t>
  </si>
  <si>
    <t>Работы,выполняемые в целях  надлежащего содержания крыши</t>
  </si>
  <si>
    <t>Работы,выполняемые в целях надлежащего содержания лестниц</t>
  </si>
  <si>
    <t>Работы,выполняемые в целях надлежащего содержания фасада</t>
  </si>
  <si>
    <t>Работы,выполняемые в целях надлежащего содержания перегородок</t>
  </si>
  <si>
    <t>Работы,выполняемые в целях надлежащего содержания внутренней отделки</t>
  </si>
  <si>
    <t>Дератизации и дезинсекции помещений,входящих в состав общего имущества в МКД по договору с ООО "АТОМ-профессиональная дезинфекция"</t>
  </si>
  <si>
    <t>Работы по обеспечению вывоза и захоронения бытовых отходов</t>
  </si>
  <si>
    <t>Работы,выполняемые в целях надлежащего содержания колонн и столбов</t>
  </si>
  <si>
    <t>9</t>
  </si>
  <si>
    <t>10</t>
  </si>
  <si>
    <t>11</t>
  </si>
  <si>
    <t>12</t>
  </si>
  <si>
    <t>Работы,выполняемые в целях надлежащего содержания полов помещений, относящихся к общему имуществу</t>
  </si>
  <si>
    <t>13</t>
  </si>
  <si>
    <t xml:space="preserve">Работы,выполняемые в целях  надлежащего содержания оконных и дверных заполнений помещений, относящихся  к общему имуществу в МКД </t>
  </si>
  <si>
    <t>14</t>
  </si>
  <si>
    <t>15</t>
  </si>
  <si>
    <t>Работы,выполняемые в целях надлежащего содержания тепловых пунктов МКД</t>
  </si>
  <si>
    <t>16</t>
  </si>
  <si>
    <t>Работы,выполняемые в целях надлежащего содержания системы холодного водоснабжения</t>
  </si>
  <si>
    <t>17</t>
  </si>
  <si>
    <t>Работы,выполняемые в целях надлежащего содержания системы горячего водоснабжения</t>
  </si>
  <si>
    <t>18</t>
  </si>
  <si>
    <t>Работы,выполняемые в целях надлежащего содержания системы водоотведения</t>
  </si>
  <si>
    <t>19</t>
  </si>
  <si>
    <t>Работы,выполняемые в целях надлежащего содержания системы теплоснабжения</t>
  </si>
  <si>
    <t>20</t>
  </si>
  <si>
    <t xml:space="preserve">Работы,выполняемые в целях надлежащего содержания электрооборудования </t>
  </si>
  <si>
    <t>21</t>
  </si>
  <si>
    <t>22</t>
  </si>
  <si>
    <t xml:space="preserve">Работы,по содержанию помещений,входящих в состав общего имущества в МКД </t>
  </si>
  <si>
    <t>23</t>
  </si>
  <si>
    <t>Дератизация и дезинсекция помещений, входящих в сотав общего имущества МКД</t>
  </si>
  <si>
    <t>24</t>
  </si>
  <si>
    <t xml:space="preserve">Работы,по содержанию земельного участка,на котором расположен МКД (по фактическому использованию) </t>
  </si>
  <si>
    <t>25</t>
  </si>
  <si>
    <t>26</t>
  </si>
  <si>
    <t>27</t>
  </si>
  <si>
    <t>28</t>
  </si>
  <si>
    <t>29</t>
  </si>
  <si>
    <t>II. ВНУТРИДОМОВОЕ ИНЖЕНЕРНОЕ ОБОРУДОВАНИЕ И ТЕХНИЧЕСКИЕ УСТРОЙСТВА</t>
  </si>
  <si>
    <t xml:space="preserve">   III.  РАБОТЫ И УСЛУГИ ПО СОДЕРЖАНИЮ  ИНОГО ОБЩЕГО ИМУЩЕСТВА В МНОГОКВАРТИРНОМ ДОМЕ</t>
  </si>
  <si>
    <t>При необходимости</t>
  </si>
  <si>
    <t>2 раза в год</t>
  </si>
  <si>
    <t>1 раз в год</t>
  </si>
  <si>
    <t>1 раз в месяц</t>
  </si>
  <si>
    <t xml:space="preserve">В соответствии с техническим паспортом прибора и сроком ввода его в эксплуатацию </t>
  </si>
  <si>
    <t>Ежедневно, кроме воскресенья</t>
  </si>
  <si>
    <t xml:space="preserve">Уборка контейнерной площадки </t>
  </si>
  <si>
    <t xml:space="preserve">Работы по обеспечению требований пожарной безопасности </t>
  </si>
  <si>
    <t>Работы,выполняемые в целях надлежащего содержания мусоропроводов многоквартирных домов</t>
  </si>
  <si>
    <t>30</t>
  </si>
  <si>
    <t xml:space="preserve">Осмотр фасадов  (выявление нарушений отделки фасада и его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входов в подъезды;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 контроль состояния отдельных элементов крылец и зонтов над входами в здание, в подыалы и над балконами; контроль состояния притворов входных дверей, самозакрывающихся устройств (пружины), ограничителей хода дверей.
</t>
  </si>
  <si>
    <t>Осмотр перекрытий и покрытий с целью выявления нарушений условий эксплуатации, несанкционированных  изменений конструктивного решения, выявление устойчивости, прогибов, трещин и колебаний;  выявление наличия, характера и величины трещин в теле перекрытия, в сводах и в местах примыканий к стенам; отслоения защитного слоя бетона, оголения и коррозии арматуры; выявление наличия  смещения плит по высоте, отслоения выравнивающего слоя в заделке швов, следов протечек или промерзаний на плитах и на стенах в местах опирания; выявление изменения состояния кладки, зыбкости перекрытия, следов протечек на потолке; проверка состояния утеплителя, гидроизоляции и звукоизоляции, адгезии отделочных слоев к конструкциям перекрытия (покрытия).</t>
  </si>
  <si>
    <t>Осмотр заполнения дверных и оконных проемов   (Проверка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доме)</t>
  </si>
  <si>
    <t>Восстановление разбитых стекол и сорванных створок оконных переплетов, форточек</t>
  </si>
  <si>
    <t>Восстановление входных дверей в подъездах</t>
  </si>
  <si>
    <t>Очистка и промывка водонапорных баков</t>
  </si>
  <si>
    <t>Осмотр, техническое обслуживание, поверка коллективного (общедомового) прибора учета холодной воды</t>
  </si>
  <si>
    <t>Прочистка выпусков канализационной сети</t>
  </si>
  <si>
    <t>Устранение засоров в системе канализации</t>
  </si>
  <si>
    <t>31</t>
  </si>
  <si>
    <t>32</t>
  </si>
  <si>
    <t>По необходимости</t>
  </si>
  <si>
    <t>Наименование вида работы (услуги)</t>
  </si>
  <si>
    <t>Перио- дичность выполнения работы, услуги</t>
  </si>
  <si>
    <t>Стоимость работы, услуги,   руб.на 1 кв.м            с НДС</t>
  </si>
  <si>
    <t>Техническое обслуживание и контроль состояния вентканалов и дымоходов в МКД, определение работоспособности оборудования и элементов систем, устранение неплотностей в вентканалах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замены дефективных вытяжных решеток и их креплений, проверка исправности оголовков  и наличия тяги в вентканалах, сезонное открытие и закрытие калорифера со стороны подвода воздуха.</t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</si>
  <si>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</t>
    </r>
    <r>
      <rPr>
        <b/>
        <u val="single"/>
        <sz val="14"/>
        <rFont val="Times New Roman"/>
        <family val="1"/>
      </rPr>
      <t xml:space="preserve"> Восточная</t>
    </r>
    <r>
      <rPr>
        <b/>
        <u val="single"/>
        <sz val="12"/>
        <rFont val="Times New Roman"/>
        <family val="1"/>
      </rPr>
      <t>,  дом №</t>
    </r>
    <r>
      <rPr>
        <b/>
        <u val="single"/>
        <sz val="14"/>
        <rFont val="Times New Roman"/>
        <family val="1"/>
      </rPr>
      <t xml:space="preserve"> 1 </t>
    </r>
  </si>
  <si>
    <t>1</t>
  </si>
  <si>
    <t>Услуги расчетно-кассового центра</t>
  </si>
  <si>
    <t>ежедневно</t>
  </si>
  <si>
    <t>2</t>
  </si>
  <si>
    <r>
      <t xml:space="preserve">Организация приема и передачи в органы регистрационного учета документов для регистрации снятия с учета граждан РФ </t>
    </r>
    <r>
      <rPr>
        <sz val="11"/>
        <color indexed="8"/>
        <rFont val="Times New Roman"/>
        <family val="1"/>
      </rPr>
      <t>(услуги паспортного стола)</t>
    </r>
  </si>
  <si>
    <t>3</t>
  </si>
  <si>
    <t>Услуги и работы по управлению МКД</t>
  </si>
  <si>
    <t>4</t>
  </si>
  <si>
    <t>Организация и содержание системы диспетчерского контроля и обеспечение диспетчерской связи</t>
  </si>
  <si>
    <t>5</t>
  </si>
  <si>
    <t>6</t>
  </si>
  <si>
    <t>7</t>
  </si>
  <si>
    <t>8</t>
  </si>
  <si>
    <t>11,5</t>
  </si>
  <si>
    <t>11,6</t>
  </si>
  <si>
    <t>11,7</t>
  </si>
  <si>
    <t>17,1</t>
  </si>
  <si>
    <t>17,2</t>
  </si>
  <si>
    <t>17,3</t>
  </si>
  <si>
    <t>по плану</t>
  </si>
  <si>
    <t>Работы,выполняемые в целях надлежащего содержания систем вентиляции и дымоудаления в МКД</t>
  </si>
  <si>
    <t>Осмотр, техническое обслуживание, поверка коллективного (общедомового) прибора учета холодной воды (при наличии)</t>
  </si>
  <si>
    <t>23,6</t>
  </si>
  <si>
    <t>23,8</t>
  </si>
  <si>
    <t>24,7</t>
  </si>
  <si>
    <t>24,8</t>
  </si>
  <si>
    <t>25,11</t>
  </si>
  <si>
    <t>Осмотр, техническое обслуживание, поверка коллективного (общедомового) прибора учета тепловой энергии (при наличии)</t>
  </si>
  <si>
    <t xml:space="preserve">Работы,выполняемые в целях надлежащего содержания системы внутридомового газового оборудования в МКД </t>
  </si>
  <si>
    <r>
      <rPr>
        <b/>
        <sz val="11"/>
        <rFont val="Times New Roman"/>
        <family val="1"/>
      </rPr>
      <t>Работы,выполняемые в целях надлежащего содержания лифтов</t>
    </r>
    <r>
      <rPr>
        <sz val="11"/>
        <rFont val="Times New Roman"/>
        <family val="1"/>
      </rPr>
      <t xml:space="preserve"> </t>
    </r>
  </si>
  <si>
    <t>В соответствии с условиями договора с подрядной организацией</t>
  </si>
  <si>
    <t xml:space="preserve">Работы по содержанию зеленых насаждений на земельном участке, входящем в состав общего имущества </t>
  </si>
  <si>
    <t>33</t>
  </si>
  <si>
    <t>Работы по содержанию зоны отдыхва, расположенной на земельном участке, на котором расположен дом</t>
  </si>
  <si>
    <t>34</t>
  </si>
  <si>
    <t>Ежедневно</t>
  </si>
  <si>
    <t>35</t>
  </si>
  <si>
    <t>ОДН на горячую воду</t>
  </si>
  <si>
    <t>36</t>
  </si>
  <si>
    <t>ОДН на холодную воду воду</t>
  </si>
  <si>
    <t>ОДН на электроэнергию</t>
  </si>
  <si>
    <t>ВСЕГО содержание общего имущества МКД с ОДН:</t>
  </si>
  <si>
    <t xml:space="preserve">Стоимость работы, услуги,     руб. в ГОД                с НДС </t>
  </si>
  <si>
    <t>32,1</t>
  </si>
  <si>
    <t>32,2</t>
  </si>
  <si>
    <t>Единица измере-ния услуги (работы)</t>
  </si>
  <si>
    <t>м.кв.</t>
  </si>
  <si>
    <t>Работы по текущему ремонту подъездов</t>
  </si>
  <si>
    <t>ОДН на водоотведение</t>
  </si>
  <si>
    <t>37</t>
  </si>
  <si>
    <t>38</t>
  </si>
  <si>
    <t>39</t>
  </si>
  <si>
    <t xml:space="preserve">ИТОГО содержание общего имущества МКД </t>
  </si>
  <si>
    <t xml:space="preserve">СВЕДЕНИЯ О ВЫПОЛНЕННЫХ РАБОТАХ (ОКАЗАННЫХ УСЛУГАХ) ЗА 2017 ГОД </t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</si>
  <si>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</t>
    </r>
    <r>
      <rPr>
        <b/>
        <u val="single"/>
        <sz val="14"/>
        <rFont val="Times New Roman"/>
        <family val="1"/>
      </rPr>
      <t xml:space="preserve"> Восточная</t>
    </r>
    <r>
      <rPr>
        <b/>
        <u val="single"/>
        <sz val="12"/>
        <rFont val="Times New Roman"/>
        <family val="1"/>
      </rPr>
      <t>,  дом №</t>
    </r>
    <r>
      <rPr>
        <b/>
        <u val="single"/>
        <sz val="14"/>
        <rFont val="Times New Roman"/>
        <family val="1"/>
      </rPr>
      <t xml:space="preserve"> 2 </t>
    </r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</si>
  <si>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</t>
    </r>
    <r>
      <rPr>
        <b/>
        <u val="single"/>
        <sz val="14"/>
        <rFont val="Times New Roman"/>
        <family val="1"/>
      </rPr>
      <t xml:space="preserve"> Восточная</t>
    </r>
    <r>
      <rPr>
        <b/>
        <u val="single"/>
        <sz val="12"/>
        <rFont val="Times New Roman"/>
        <family val="1"/>
      </rPr>
      <t>,  дом №</t>
    </r>
    <r>
      <rPr>
        <b/>
        <u val="single"/>
        <sz val="14"/>
        <rFont val="Times New Roman"/>
        <family val="1"/>
      </rPr>
      <t xml:space="preserve"> 3 </t>
    </r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</si>
  <si>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</t>
    </r>
    <r>
      <rPr>
        <b/>
        <u val="single"/>
        <sz val="14"/>
        <rFont val="Times New Roman"/>
        <family val="1"/>
      </rPr>
      <t xml:space="preserve"> Восточная</t>
    </r>
    <r>
      <rPr>
        <b/>
        <u val="single"/>
        <sz val="12"/>
        <rFont val="Times New Roman"/>
        <family val="1"/>
      </rPr>
      <t>,  дом №</t>
    </r>
    <r>
      <rPr>
        <b/>
        <u val="single"/>
        <sz val="14"/>
        <rFont val="Times New Roman"/>
        <family val="1"/>
      </rPr>
      <t xml:space="preserve"> 4 </t>
    </r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</si>
  <si>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</t>
    </r>
    <r>
      <rPr>
        <b/>
        <u val="single"/>
        <sz val="14"/>
        <rFont val="Times New Roman"/>
        <family val="1"/>
      </rPr>
      <t xml:space="preserve"> Восточная</t>
    </r>
    <r>
      <rPr>
        <b/>
        <u val="single"/>
        <sz val="12"/>
        <rFont val="Times New Roman"/>
        <family val="1"/>
      </rPr>
      <t>,  дом №</t>
    </r>
    <r>
      <rPr>
        <b/>
        <u val="single"/>
        <sz val="14"/>
        <rFont val="Times New Roman"/>
        <family val="1"/>
      </rPr>
      <t xml:space="preserve"> 4 а</t>
    </r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</si>
  <si>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</t>
    </r>
    <r>
      <rPr>
        <b/>
        <u val="single"/>
        <sz val="14"/>
        <rFont val="Times New Roman"/>
        <family val="1"/>
      </rPr>
      <t xml:space="preserve"> Восточная</t>
    </r>
    <r>
      <rPr>
        <b/>
        <u val="single"/>
        <sz val="12"/>
        <rFont val="Times New Roman"/>
        <family val="1"/>
      </rPr>
      <t>,  дом №</t>
    </r>
    <r>
      <rPr>
        <b/>
        <u val="single"/>
        <sz val="14"/>
        <rFont val="Times New Roman"/>
        <family val="1"/>
      </rPr>
      <t xml:space="preserve"> 4 б</t>
    </r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</si>
  <si>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</t>
    </r>
    <r>
      <rPr>
        <b/>
        <u val="single"/>
        <sz val="14"/>
        <rFont val="Times New Roman"/>
        <family val="1"/>
      </rPr>
      <t xml:space="preserve"> Восточная</t>
    </r>
    <r>
      <rPr>
        <b/>
        <u val="single"/>
        <sz val="12"/>
        <rFont val="Times New Roman"/>
        <family val="1"/>
      </rPr>
      <t>,  дом №</t>
    </r>
    <r>
      <rPr>
        <b/>
        <u val="single"/>
        <sz val="14"/>
        <rFont val="Times New Roman"/>
        <family val="1"/>
      </rPr>
      <t xml:space="preserve"> 6 а</t>
    </r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</si>
  <si>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 Комсомольская,  дом №</t>
    </r>
    <r>
      <rPr>
        <b/>
        <u val="single"/>
        <sz val="14"/>
        <rFont val="Times New Roman"/>
        <family val="1"/>
      </rPr>
      <t xml:space="preserve"> 4</t>
    </r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</si>
  <si>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 Комсомольская,  дом №</t>
    </r>
    <r>
      <rPr>
        <b/>
        <u val="single"/>
        <sz val="14"/>
        <rFont val="Times New Roman"/>
        <family val="1"/>
      </rPr>
      <t xml:space="preserve"> 6</t>
    </r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</si>
  <si>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 Спортивная,  дом №</t>
    </r>
    <r>
      <rPr>
        <b/>
        <u val="single"/>
        <sz val="14"/>
        <rFont val="Times New Roman"/>
        <family val="1"/>
      </rPr>
      <t xml:space="preserve"> 25</t>
    </r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</si>
  <si>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 Спортивная,  дом №</t>
    </r>
    <r>
      <rPr>
        <b/>
        <u val="single"/>
        <sz val="14"/>
        <rFont val="Times New Roman"/>
        <family val="1"/>
      </rPr>
      <t xml:space="preserve"> 43</t>
    </r>
  </si>
  <si>
    <t xml:space="preserve">Стоимость работы, услуги,     руб. в ГОД  (8 м-в)              с НДС </t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</si>
  <si>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 Спортивная,  дом №</t>
    </r>
    <r>
      <rPr>
        <b/>
        <u val="single"/>
        <sz val="14"/>
        <rFont val="Times New Roman"/>
        <family val="1"/>
      </rPr>
      <t xml:space="preserve"> 45</t>
    </r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</si>
  <si>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 Спортивная,  дом №</t>
    </r>
    <r>
      <rPr>
        <b/>
        <u val="single"/>
        <sz val="14"/>
        <rFont val="Times New Roman"/>
        <family val="1"/>
      </rPr>
      <t xml:space="preserve"> 47</t>
    </r>
  </si>
  <si>
    <t xml:space="preserve">Стоимость работы, услуги,     руб. в ГОД        (8 м-в)              с НДС </t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</si>
  <si>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улица Спортивная,  дом №</t>
    </r>
    <r>
      <rPr>
        <b/>
        <u val="single"/>
        <sz val="14"/>
        <rFont val="Times New Roman"/>
        <family val="1"/>
      </rPr>
      <t xml:space="preserve"> 47б</t>
    </r>
  </si>
  <si>
    <t>по плану,        по заявкам</t>
  </si>
  <si>
    <t>По плану</t>
  </si>
  <si>
    <t xml:space="preserve">по плану </t>
  </si>
  <si>
    <r>
      <t xml:space="preserve">                                        </t>
    </r>
    <r>
      <rPr>
        <b/>
        <u val="single"/>
        <sz val="12"/>
        <rFont val="Times New Roman"/>
        <family val="1"/>
      </rPr>
      <t xml:space="preserve"> проезд</t>
    </r>
    <r>
      <rPr>
        <b/>
        <u val="single"/>
        <sz val="14"/>
        <rFont val="Times New Roman"/>
        <family val="1"/>
      </rPr>
      <t xml:space="preserve"> Восточный</t>
    </r>
    <r>
      <rPr>
        <b/>
        <u val="single"/>
        <sz val="12"/>
        <rFont val="Times New Roman"/>
        <family val="1"/>
      </rPr>
      <t>,  дом №</t>
    </r>
    <r>
      <rPr>
        <b/>
        <u val="single"/>
        <sz val="14"/>
        <rFont val="Times New Roman"/>
        <family val="1"/>
      </rPr>
      <t xml:space="preserve"> 25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</si>
</sst>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_р_.;[Red]#,##0.00_р_."/>
    <numFmt numFmtId="167" formatCode="[$-FC19]d\ mmmm\ yyyy\ &quot;г.&quot;"/>
    <numFmt numFmtId="168" formatCode="0.0"/>
    <numFmt numFmtId="169" formatCode="0.0%"/>
    <numFmt numFmtId="170" formatCode="0.00000"/>
    <numFmt numFmtId="171" formatCode="0.000000"/>
  </numFmts>
  <fonts count="59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b/>
      <sz val="11"/>
      <color indexed="28"/>
      <name val="Times New Roman"/>
      <family val="1"/>
    </font>
    <font>
      <b/>
      <sz val="11"/>
      <color indexed="53"/>
      <name val="Times New Roman"/>
      <family val="1"/>
    </font>
    <font>
      <sz val="11"/>
      <color indexed="53"/>
      <name val="Times New Roman"/>
      <family val="1"/>
    </font>
    <font>
      <b/>
      <sz val="12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60033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14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49" fontId="1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54" fillId="0" borderId="13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55" fillId="0" borderId="13" xfId="0" applyFont="1" applyFill="1" applyBorder="1" applyAlignment="1" applyProtection="1">
      <alignment horizontal="center" wrapText="1"/>
      <protection/>
    </xf>
    <xf numFmtId="0" fontId="55" fillId="0" borderId="13" xfId="0" applyFont="1" applyFill="1" applyBorder="1" applyAlignment="1" applyProtection="1">
      <alignment vertical="center" wrapText="1"/>
      <protection/>
    </xf>
    <xf numFmtId="0" fontId="54" fillId="0" borderId="13" xfId="0" applyFont="1" applyFill="1" applyBorder="1" applyAlignment="1" applyProtection="1">
      <alignment vertical="center"/>
      <protection/>
    </xf>
    <xf numFmtId="0" fontId="54" fillId="0" borderId="13" xfId="0" applyFont="1" applyFill="1" applyBorder="1" applyAlignment="1" applyProtection="1">
      <alignment/>
      <protection/>
    </xf>
    <xf numFmtId="49" fontId="54" fillId="0" borderId="13" xfId="0" applyNumberFormat="1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49" fontId="56" fillId="0" borderId="13" xfId="0" applyNumberFormat="1" applyFont="1" applyFill="1" applyBorder="1" applyAlignment="1" applyProtection="1">
      <alignment horizontal="center" vertical="center"/>
      <protection/>
    </xf>
    <xf numFmtId="0" fontId="56" fillId="0" borderId="13" xfId="0" applyFont="1" applyFill="1" applyBorder="1" applyAlignment="1" applyProtection="1">
      <alignment horizontal="center" vertical="center"/>
      <protection/>
    </xf>
    <xf numFmtId="0" fontId="57" fillId="0" borderId="13" xfId="0" applyFont="1" applyFill="1" applyBorder="1" applyAlignment="1" applyProtection="1">
      <alignment/>
      <protection/>
    </xf>
    <xf numFmtId="49" fontId="57" fillId="0" borderId="13" xfId="0" applyNumberFormat="1" applyFont="1" applyFill="1" applyBorder="1" applyAlignment="1" applyProtection="1">
      <alignment horizontal="center" vertical="center"/>
      <protection/>
    </xf>
    <xf numFmtId="0" fontId="57" fillId="0" borderId="13" xfId="0" applyFont="1" applyFill="1" applyBorder="1" applyAlignment="1" applyProtection="1">
      <alignment horizontal="center" vertical="center" wrapText="1"/>
      <protection/>
    </xf>
    <xf numFmtId="49" fontId="57" fillId="0" borderId="19" xfId="0" applyNumberFormat="1" applyFont="1" applyFill="1" applyBorder="1" applyAlignment="1" applyProtection="1">
      <alignment horizontal="center" vertical="center"/>
      <protection/>
    </xf>
    <xf numFmtId="0" fontId="57" fillId="0" borderId="14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left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49" fontId="6" fillId="0" borderId="26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 wrapText="1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top" wrapText="1"/>
      <protection/>
    </xf>
    <xf numFmtId="2" fontId="6" fillId="0" borderId="13" xfId="0" applyNumberFormat="1" applyFont="1" applyFill="1" applyBorder="1" applyAlignment="1" applyProtection="1">
      <alignment horizontal="center" vertical="top" wrapText="1"/>
      <protection/>
    </xf>
    <xf numFmtId="4" fontId="5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vertical="center" wrapText="1"/>
      <protection/>
    </xf>
    <xf numFmtId="0" fontId="57" fillId="0" borderId="23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left" vertical="center" wrapText="1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top" wrapText="1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/>
      <protection/>
    </xf>
    <xf numFmtId="2" fontId="6" fillId="33" borderId="13" xfId="0" applyNumberFormat="1" applyFont="1" applyFill="1" applyBorder="1" applyAlignment="1" applyProtection="1">
      <alignment horizontal="center" vertical="top" wrapText="1"/>
      <protection/>
    </xf>
    <xf numFmtId="2" fontId="7" fillId="33" borderId="0" xfId="0" applyNumberFormat="1" applyFont="1" applyFill="1" applyAlignment="1" applyProtection="1">
      <alignment/>
      <protection/>
    </xf>
    <xf numFmtId="0" fontId="7" fillId="33" borderId="46" xfId="0" applyFont="1" applyFill="1" applyBorder="1" applyAlignment="1" applyProtection="1">
      <alignment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2" fontId="4" fillId="33" borderId="0" xfId="0" applyNumberFormat="1" applyFont="1" applyFill="1" applyAlignment="1" applyProtection="1">
      <alignment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2" fontId="6" fillId="33" borderId="40" xfId="0" applyNumberFormat="1" applyFont="1" applyFill="1" applyBorder="1" applyAlignment="1" applyProtection="1">
      <alignment horizontal="center" vertical="top" wrapText="1"/>
      <protection/>
    </xf>
    <xf numFmtId="0" fontId="4" fillId="33" borderId="46" xfId="0" applyFont="1" applyFill="1" applyBorder="1" applyAlignment="1" applyProtection="1">
      <alignment/>
      <protection/>
    </xf>
    <xf numFmtId="0" fontId="57" fillId="33" borderId="13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26" xfId="0" applyFont="1" applyFill="1" applyBorder="1" applyAlignment="1" applyProtection="1">
      <alignment vertical="center"/>
      <protection/>
    </xf>
    <xf numFmtId="2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0" borderId="46" xfId="0" applyFont="1" applyFill="1" applyBorder="1" applyAlignment="1" applyProtection="1">
      <alignment/>
      <protection/>
    </xf>
    <xf numFmtId="2" fontId="6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46" xfId="0" applyFont="1" applyFill="1" applyBorder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6" fillId="0" borderId="38" xfId="0" applyFont="1" applyFill="1" applyBorder="1" applyAlignment="1" applyProtection="1">
      <alignment horizontal="left" vertical="center" wrapText="1"/>
      <protection/>
    </xf>
    <xf numFmtId="2" fontId="0" fillId="0" borderId="0" xfId="0" applyNumberFormat="1" applyFill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left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40" xfId="0" applyFont="1" applyFill="1" applyBorder="1" applyAlignment="1" applyProtection="1">
      <alignment horizontal="left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49" xfId="0" applyFont="1" applyFill="1" applyBorder="1" applyAlignment="1" applyProtection="1">
      <alignment horizontal="left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CFD8DC"/>
      <rgbColor rgb="00ECEFF1"/>
      <rgbColor rgb="00FFE0B2"/>
      <rgbColor rgb="00455A64"/>
      <rgbColor rgb="00600000"/>
      <rgbColor rgb="004682B4"/>
      <rgbColor rgb="000000B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4"/>
  <sheetViews>
    <sheetView zoomScalePageLayoutView="0" workbookViewId="0" topLeftCell="B1">
      <selection activeCell="B34" sqref="B34"/>
    </sheetView>
  </sheetViews>
  <sheetFormatPr defaultColWidth="8.8515625" defaultRowHeight="12"/>
  <cols>
    <col min="1" max="1" width="0" style="1" hidden="1" customWidth="1"/>
    <col min="2" max="2" width="3.8515625" style="21" customWidth="1"/>
    <col min="3" max="3" width="48.00390625" style="1" customWidth="1"/>
    <col min="4" max="4" width="14.7109375" style="2" customWidth="1"/>
    <col min="5" max="5" width="9.8515625" style="2" customWidth="1"/>
    <col min="6" max="6" width="10.28125" style="1" customWidth="1"/>
    <col min="7" max="7" width="23.57421875" style="1" customWidth="1"/>
    <col min="8" max="8" width="9.421875" style="1" bestFit="1" customWidth="1"/>
    <col min="9" max="16384" width="8.8515625" style="1" customWidth="1"/>
  </cols>
  <sheetData>
    <row r="1" ht="9" customHeight="1"/>
    <row r="2" ht="15" hidden="1"/>
    <row r="3" spans="4:5" ht="17.25" customHeight="1">
      <c r="D3" s="27"/>
      <c r="E3" s="27"/>
    </row>
    <row r="4" spans="3:6" ht="15">
      <c r="C4" s="1" t="s">
        <v>146</v>
      </c>
      <c r="D4" s="27"/>
      <c r="E4" s="27"/>
      <c r="F4" s="46"/>
    </row>
    <row r="5" spans="4:6" ht="15">
      <c r="D5" s="27"/>
      <c r="E5" s="27"/>
      <c r="F5" s="46"/>
    </row>
    <row r="6" spans="2:5" ht="18.75">
      <c r="B6" s="47"/>
      <c r="C6" s="157" t="s">
        <v>92</v>
      </c>
      <c r="D6" s="142"/>
      <c r="E6" s="1"/>
    </row>
    <row r="7" spans="2:5" ht="15.75">
      <c r="B7" s="47"/>
      <c r="C7" s="14"/>
      <c r="D7" s="1"/>
      <c r="E7" s="1"/>
    </row>
    <row r="8" spans="2:5" ht="1.5" customHeight="1">
      <c r="B8" s="47"/>
      <c r="C8" s="14"/>
      <c r="D8" s="1"/>
      <c r="E8" s="1"/>
    </row>
    <row r="9" spans="2:6" ht="13.5" customHeight="1" thickBot="1">
      <c r="B9" s="22" t="s">
        <v>5</v>
      </c>
      <c r="C9" s="50"/>
      <c r="D9" s="15"/>
      <c r="E9" s="15"/>
      <c r="F9" s="47"/>
    </row>
    <row r="10" spans="2:6" ht="15" customHeight="1" hidden="1" thickBot="1">
      <c r="B10" s="23"/>
      <c r="C10" s="11" t="s">
        <v>18</v>
      </c>
      <c r="D10" s="48"/>
      <c r="E10" s="48"/>
      <c r="F10" s="27">
        <v>7217.1</v>
      </c>
    </row>
    <row r="11" spans="1:8" s="2" customFormat="1" ht="114" customHeight="1" thickBot="1">
      <c r="A11" s="29"/>
      <c r="B11" s="121" t="s">
        <v>0</v>
      </c>
      <c r="C11" s="85" t="s">
        <v>88</v>
      </c>
      <c r="D11" s="56" t="s">
        <v>89</v>
      </c>
      <c r="E11" s="56" t="s">
        <v>138</v>
      </c>
      <c r="F11" s="56" t="s">
        <v>90</v>
      </c>
      <c r="G11" s="134" t="s">
        <v>135</v>
      </c>
      <c r="H11" s="135"/>
    </row>
    <row r="12" spans="1:8" s="2" customFormat="1" ht="35.25" customHeight="1">
      <c r="A12" s="3"/>
      <c r="B12" s="121" t="s">
        <v>93</v>
      </c>
      <c r="C12" s="85" t="s">
        <v>94</v>
      </c>
      <c r="D12" s="56" t="s">
        <v>95</v>
      </c>
      <c r="E12" s="56" t="s">
        <v>139</v>
      </c>
      <c r="F12" s="116">
        <v>0.45</v>
      </c>
      <c r="G12" s="136">
        <v>38539.31</v>
      </c>
      <c r="H12" s="137"/>
    </row>
    <row r="13" spans="1:8" s="2" customFormat="1" ht="65.25" customHeight="1">
      <c r="A13" s="3"/>
      <c r="B13" s="121" t="s">
        <v>96</v>
      </c>
      <c r="C13" s="122" t="s">
        <v>97</v>
      </c>
      <c r="D13" s="56" t="s">
        <v>95</v>
      </c>
      <c r="E13" s="56" t="s">
        <v>139</v>
      </c>
      <c r="F13" s="116">
        <v>0.17</v>
      </c>
      <c r="G13" s="136">
        <v>14722.88</v>
      </c>
      <c r="H13" s="135"/>
    </row>
    <row r="14" spans="1:8" s="2" customFormat="1" ht="32.25" customHeight="1">
      <c r="A14" s="3"/>
      <c r="B14" s="121" t="s">
        <v>98</v>
      </c>
      <c r="C14" s="122" t="s">
        <v>99</v>
      </c>
      <c r="D14" s="56" t="s">
        <v>95</v>
      </c>
      <c r="E14" s="56" t="s">
        <v>139</v>
      </c>
      <c r="F14" s="116">
        <v>1.5</v>
      </c>
      <c r="G14" s="136">
        <v>129474.77</v>
      </c>
      <c r="H14" s="135"/>
    </row>
    <row r="15" spans="1:8" s="2" customFormat="1" ht="48.75" customHeight="1">
      <c r="A15" s="3"/>
      <c r="B15" s="121" t="s">
        <v>100</v>
      </c>
      <c r="C15" s="122" t="s">
        <v>101</v>
      </c>
      <c r="D15" s="56" t="s">
        <v>95</v>
      </c>
      <c r="E15" s="56" t="s">
        <v>139</v>
      </c>
      <c r="F15" s="116">
        <v>1.25</v>
      </c>
      <c r="G15" s="136">
        <v>107823.47</v>
      </c>
      <c r="H15" s="135"/>
    </row>
    <row r="16" spans="1:8" s="2" customFormat="1" ht="19.5" customHeight="1">
      <c r="A16" s="3"/>
      <c r="B16" s="30"/>
      <c r="C16" s="168" t="s">
        <v>6</v>
      </c>
      <c r="D16" s="169"/>
      <c r="E16" s="169"/>
      <c r="F16" s="169"/>
      <c r="G16" s="138"/>
      <c r="H16" s="135"/>
    </row>
    <row r="17" spans="1:8" s="2" customFormat="1" ht="19.5" customHeight="1" hidden="1">
      <c r="A17" s="3"/>
      <c r="B17" s="37"/>
      <c r="C17" s="75"/>
      <c r="D17" s="76"/>
      <c r="E17" s="76"/>
      <c r="F17" s="74"/>
      <c r="G17" s="139"/>
      <c r="H17" s="135"/>
    </row>
    <row r="18" spans="2:8" ht="33" customHeight="1">
      <c r="B18" s="31" t="s">
        <v>102</v>
      </c>
      <c r="C18" s="55" t="s">
        <v>19</v>
      </c>
      <c r="D18" s="123" t="s">
        <v>67</v>
      </c>
      <c r="E18" s="56" t="s">
        <v>139</v>
      </c>
      <c r="F18" s="116">
        <f>G18/12/7217.1</f>
        <v>0.55</v>
      </c>
      <c r="G18" s="136">
        <v>47632.86</v>
      </c>
      <c r="H18" s="140"/>
    </row>
    <row r="19" spans="2:8" ht="150" hidden="1">
      <c r="B19" s="32"/>
      <c r="C19" s="5" t="s">
        <v>7</v>
      </c>
      <c r="D19" s="8"/>
      <c r="E19" s="56" t="s">
        <v>139</v>
      </c>
      <c r="F19" s="57"/>
      <c r="G19" s="141"/>
      <c r="H19" s="142"/>
    </row>
    <row r="20" spans="2:8" ht="36" customHeight="1">
      <c r="B20" s="33" t="s">
        <v>103</v>
      </c>
      <c r="C20" s="12" t="s">
        <v>20</v>
      </c>
      <c r="D20" s="123" t="s">
        <v>67</v>
      </c>
      <c r="E20" s="56" t="s">
        <v>139</v>
      </c>
      <c r="F20" s="116">
        <f>G20/12/7217.1</f>
        <v>0.19000002309330155</v>
      </c>
      <c r="G20" s="136">
        <v>16454.99</v>
      </c>
      <c r="H20" s="142"/>
    </row>
    <row r="21" spans="2:8" ht="0.75" customHeight="1" hidden="1">
      <c r="B21" s="34"/>
      <c r="C21" s="35" t="s">
        <v>8</v>
      </c>
      <c r="D21" s="36"/>
      <c r="E21" s="56" t="s">
        <v>139</v>
      </c>
      <c r="F21" s="57"/>
      <c r="G21" s="141"/>
      <c r="H21" s="142"/>
    </row>
    <row r="22" spans="2:8" ht="41.25" customHeight="1">
      <c r="B22" s="66" t="s">
        <v>104</v>
      </c>
      <c r="C22" s="67" t="s">
        <v>21</v>
      </c>
      <c r="D22" s="108" t="s">
        <v>67</v>
      </c>
      <c r="E22" s="56" t="s">
        <v>139</v>
      </c>
      <c r="F22" s="116">
        <f>G22/12/7217.1</f>
        <v>0.15999997690669845</v>
      </c>
      <c r="G22" s="136">
        <v>13856.83</v>
      </c>
      <c r="H22" s="142"/>
    </row>
    <row r="23" spans="2:8" ht="20.25" customHeight="1" hidden="1">
      <c r="B23" s="70"/>
      <c r="C23" s="71" t="s">
        <v>9</v>
      </c>
      <c r="D23" s="72"/>
      <c r="E23" s="56" t="s">
        <v>139</v>
      </c>
      <c r="F23" s="59"/>
      <c r="G23" s="141"/>
      <c r="H23" s="142"/>
    </row>
    <row r="24" spans="2:8" ht="34.5" customHeight="1">
      <c r="B24" s="42" t="s">
        <v>105</v>
      </c>
      <c r="C24" s="19" t="s">
        <v>22</v>
      </c>
      <c r="D24" s="107" t="s">
        <v>67</v>
      </c>
      <c r="E24" s="56" t="s">
        <v>139</v>
      </c>
      <c r="F24" s="116">
        <f>G24/12/7217.1</f>
        <v>0.08000004618660311</v>
      </c>
      <c r="G24" s="136">
        <v>6928.42</v>
      </c>
      <c r="H24" s="142"/>
    </row>
    <row r="25" spans="2:8" ht="255" hidden="1">
      <c r="B25" s="34"/>
      <c r="C25" s="53" t="s">
        <v>10</v>
      </c>
      <c r="D25" s="54"/>
      <c r="E25" s="56" t="s">
        <v>139</v>
      </c>
      <c r="F25" s="60"/>
      <c r="G25" s="141"/>
      <c r="H25" s="142"/>
    </row>
    <row r="26" spans="2:8" ht="35.25" customHeight="1">
      <c r="B26" s="51" t="s">
        <v>32</v>
      </c>
      <c r="C26" s="52" t="s">
        <v>31</v>
      </c>
      <c r="D26" s="109" t="s">
        <v>67</v>
      </c>
      <c r="E26" s="56" t="s">
        <v>139</v>
      </c>
      <c r="F26" s="116">
        <f>G26/12/7217.1</f>
        <v>0.03000004618660311</v>
      </c>
      <c r="G26" s="136">
        <v>2598.16</v>
      </c>
      <c r="H26" s="142"/>
    </row>
    <row r="27" spans="2:8" ht="297.75" customHeight="1" hidden="1">
      <c r="B27" s="24"/>
      <c r="C27" s="35" t="s">
        <v>11</v>
      </c>
      <c r="D27" s="36"/>
      <c r="E27" s="56" t="s">
        <v>139</v>
      </c>
      <c r="F27" s="61"/>
      <c r="G27" s="141"/>
      <c r="H27" s="142"/>
    </row>
    <row r="28" spans="2:8" ht="51" customHeight="1">
      <c r="B28" s="26" t="s">
        <v>33</v>
      </c>
      <c r="C28" s="20" t="s">
        <v>23</v>
      </c>
      <c r="D28" s="107" t="s">
        <v>67</v>
      </c>
      <c r="E28" s="56" t="s">
        <v>139</v>
      </c>
      <c r="F28" s="116">
        <f>G28/12/7217.1</f>
        <v>0.03000004618660311</v>
      </c>
      <c r="G28" s="136">
        <v>2598.16</v>
      </c>
      <c r="H28" s="142"/>
    </row>
    <row r="29" spans="2:8" ht="258.75" customHeight="1" hidden="1">
      <c r="B29" s="40"/>
      <c r="C29" s="7" t="s">
        <v>77</v>
      </c>
      <c r="D29" s="73"/>
      <c r="E29" s="56" t="s">
        <v>139</v>
      </c>
      <c r="F29" s="60"/>
      <c r="G29" s="141"/>
      <c r="H29" s="142"/>
    </row>
    <row r="30" spans="2:8" ht="42" customHeight="1">
      <c r="B30" s="42" t="s">
        <v>34</v>
      </c>
      <c r="C30" s="19" t="s">
        <v>24</v>
      </c>
      <c r="D30" s="107" t="s">
        <v>67</v>
      </c>
      <c r="E30" s="56" t="s">
        <v>139</v>
      </c>
      <c r="F30" s="116">
        <f>G30/12/7217.1</f>
        <v>2.380000046186603</v>
      </c>
      <c r="G30" s="136">
        <v>206120.38</v>
      </c>
      <c r="H30" s="142"/>
    </row>
    <row r="31" spans="1:8" ht="45" customHeight="1" hidden="1">
      <c r="A31" s="2"/>
      <c r="B31" s="32" t="s">
        <v>106</v>
      </c>
      <c r="C31" s="5" t="s">
        <v>4</v>
      </c>
      <c r="D31" s="64" t="s">
        <v>87</v>
      </c>
      <c r="E31" s="118"/>
      <c r="F31" s="62"/>
      <c r="G31" s="143"/>
      <c r="H31" s="142"/>
    </row>
    <row r="32" spans="1:8" ht="45" customHeight="1" hidden="1">
      <c r="A32" s="2"/>
      <c r="B32" s="32" t="s">
        <v>107</v>
      </c>
      <c r="C32" s="5" t="s">
        <v>17</v>
      </c>
      <c r="D32" s="64" t="s">
        <v>87</v>
      </c>
      <c r="E32" s="118"/>
      <c r="F32" s="62"/>
      <c r="G32" s="143"/>
      <c r="H32" s="142"/>
    </row>
    <row r="33" spans="1:8" ht="45" customHeight="1" hidden="1">
      <c r="A33" s="2"/>
      <c r="B33" s="34" t="s">
        <v>108</v>
      </c>
      <c r="C33" s="35" t="s">
        <v>3</v>
      </c>
      <c r="D33" s="65" t="s">
        <v>87</v>
      </c>
      <c r="E33" s="119"/>
      <c r="F33" s="63"/>
      <c r="G33" s="141"/>
      <c r="H33" s="142"/>
    </row>
    <row r="34" spans="2:8" ht="39.75" customHeight="1">
      <c r="B34" s="26" t="s">
        <v>35</v>
      </c>
      <c r="C34" s="20" t="s">
        <v>25</v>
      </c>
      <c r="D34" s="85" t="s">
        <v>112</v>
      </c>
      <c r="E34" s="56" t="s">
        <v>139</v>
      </c>
      <c r="F34" s="116">
        <f>G34/12/7217.1</f>
        <v>1.1699999538133967</v>
      </c>
      <c r="G34" s="136">
        <v>101328.08</v>
      </c>
      <c r="H34" s="142"/>
    </row>
    <row r="35" spans="2:8" ht="28.5" customHeight="1">
      <c r="B35" s="42" t="s">
        <v>37</v>
      </c>
      <c r="C35" s="19" t="s">
        <v>26</v>
      </c>
      <c r="D35" s="109" t="s">
        <v>67</v>
      </c>
      <c r="E35" s="56" t="s">
        <v>139</v>
      </c>
      <c r="F35" s="116">
        <f>G35/12/7217.1</f>
        <v>0.7300000461866031</v>
      </c>
      <c r="G35" s="136">
        <v>63221.8</v>
      </c>
      <c r="H35" s="142"/>
    </row>
    <row r="36" spans="2:8" ht="199.5" customHeight="1" hidden="1">
      <c r="B36" s="34"/>
      <c r="C36" s="35" t="s">
        <v>76</v>
      </c>
      <c r="D36" s="36"/>
      <c r="E36" s="56" t="s">
        <v>139</v>
      </c>
      <c r="F36" s="57"/>
      <c r="G36" s="141"/>
      <c r="H36" s="142"/>
    </row>
    <row r="37" spans="2:8" ht="41.25" customHeight="1">
      <c r="B37" s="42" t="s">
        <v>39</v>
      </c>
      <c r="C37" s="19" t="s">
        <v>27</v>
      </c>
      <c r="D37" s="109" t="s">
        <v>67</v>
      </c>
      <c r="E37" s="56" t="s">
        <v>139</v>
      </c>
      <c r="F37" s="116">
        <f>G37/12/7217.1</f>
        <v>0.04000002309330156</v>
      </c>
      <c r="G37" s="136">
        <v>3464.21</v>
      </c>
      <c r="H37" s="142"/>
    </row>
    <row r="38" spans="2:8" ht="0.75" customHeight="1" hidden="1">
      <c r="B38" s="43"/>
      <c r="C38" s="35" t="s">
        <v>12</v>
      </c>
      <c r="D38" s="36"/>
      <c r="E38" s="56" t="s">
        <v>139</v>
      </c>
      <c r="F38" s="61"/>
      <c r="G38" s="141"/>
      <c r="H38" s="142"/>
    </row>
    <row r="39" spans="2:8" ht="43.5" customHeight="1">
      <c r="B39" s="66" t="s">
        <v>40</v>
      </c>
      <c r="C39" s="67" t="s">
        <v>28</v>
      </c>
      <c r="D39" s="108" t="s">
        <v>67</v>
      </c>
      <c r="E39" s="56" t="s">
        <v>139</v>
      </c>
      <c r="F39" s="116">
        <f>G39/12/7217.1</f>
        <v>0.43000004618660304</v>
      </c>
      <c r="G39" s="136">
        <v>37240.24</v>
      </c>
      <c r="H39" s="142"/>
    </row>
    <row r="40" spans="2:8" ht="60" customHeight="1" hidden="1">
      <c r="B40" s="131"/>
      <c r="C40" s="49" t="s">
        <v>13</v>
      </c>
      <c r="D40" s="68"/>
      <c r="E40" s="56" t="s">
        <v>139</v>
      </c>
      <c r="F40" s="61"/>
      <c r="G40" s="141"/>
      <c r="H40" s="142"/>
    </row>
    <row r="41" spans="2:8" ht="45.75" customHeight="1">
      <c r="B41" s="66" t="s">
        <v>42</v>
      </c>
      <c r="C41" s="67" t="s">
        <v>36</v>
      </c>
      <c r="D41" s="132" t="s">
        <v>67</v>
      </c>
      <c r="E41" s="56" t="s">
        <v>139</v>
      </c>
      <c r="F41" s="116">
        <f>G41/12/7217.1</f>
        <v>0.04000002309330156</v>
      </c>
      <c r="G41" s="136">
        <v>3464.21</v>
      </c>
      <c r="H41" s="142"/>
    </row>
    <row r="42" spans="2:8" ht="30" hidden="1">
      <c r="B42" s="24"/>
      <c r="C42" s="39" t="s">
        <v>14</v>
      </c>
      <c r="D42" s="17"/>
      <c r="E42" s="56" t="s">
        <v>139</v>
      </c>
      <c r="F42" s="61"/>
      <c r="G42" s="141"/>
      <c r="H42" s="142"/>
    </row>
    <row r="43" spans="2:8" ht="65.25" customHeight="1">
      <c r="B43" s="42" t="s">
        <v>44</v>
      </c>
      <c r="C43" s="19" t="s">
        <v>38</v>
      </c>
      <c r="D43" s="110" t="s">
        <v>67</v>
      </c>
      <c r="E43" s="56" t="s">
        <v>139</v>
      </c>
      <c r="F43" s="116">
        <f>G43/12/7217.1</f>
        <v>0.16999995381339686</v>
      </c>
      <c r="G43" s="136">
        <v>14722.88</v>
      </c>
      <c r="H43" s="142"/>
    </row>
    <row r="44" spans="2:8" ht="105" hidden="1">
      <c r="B44" s="44" t="s">
        <v>109</v>
      </c>
      <c r="C44" s="6" t="s">
        <v>78</v>
      </c>
      <c r="D44" s="68" t="s">
        <v>67</v>
      </c>
      <c r="E44" s="56" t="s">
        <v>139</v>
      </c>
      <c r="F44" s="61"/>
      <c r="G44" s="141"/>
      <c r="H44" s="142"/>
    </row>
    <row r="45" spans="2:8" ht="45" customHeight="1" hidden="1">
      <c r="B45" s="24" t="s">
        <v>110</v>
      </c>
      <c r="C45" s="39" t="s">
        <v>79</v>
      </c>
      <c r="D45" s="69" t="s">
        <v>87</v>
      </c>
      <c r="E45" s="56" t="s">
        <v>139</v>
      </c>
      <c r="F45" s="61"/>
      <c r="G45" s="141"/>
      <c r="H45" s="142"/>
    </row>
    <row r="46" spans="2:8" ht="45" customHeight="1" hidden="1">
      <c r="B46" s="24" t="s">
        <v>111</v>
      </c>
      <c r="C46" s="39" t="s">
        <v>80</v>
      </c>
      <c r="D46" s="69" t="s">
        <v>87</v>
      </c>
      <c r="E46" s="56" t="s">
        <v>139</v>
      </c>
      <c r="F46" s="61"/>
      <c r="G46" s="141"/>
      <c r="H46" s="142"/>
    </row>
    <row r="47" spans="2:8" ht="45" customHeight="1">
      <c r="B47" s="42" t="s">
        <v>46</v>
      </c>
      <c r="C47" s="126" t="s">
        <v>140</v>
      </c>
      <c r="D47" s="127" t="s">
        <v>112</v>
      </c>
      <c r="E47" s="115" t="s">
        <v>139</v>
      </c>
      <c r="F47" s="116">
        <f>G47/12/7217.1</f>
        <v>9.64278923205535</v>
      </c>
      <c r="G47" s="144">
        <v>835115.69</v>
      </c>
      <c r="H47" s="142"/>
    </row>
    <row r="48" spans="2:8" ht="34.5" customHeight="1">
      <c r="B48" s="125"/>
      <c r="C48" s="170" t="s">
        <v>64</v>
      </c>
      <c r="D48" s="171"/>
      <c r="E48" s="171"/>
      <c r="F48" s="171"/>
      <c r="G48" s="145"/>
      <c r="H48" s="142"/>
    </row>
    <row r="49" spans="2:8" ht="46.5" customHeight="1">
      <c r="B49" s="26" t="s">
        <v>48</v>
      </c>
      <c r="C49" s="52" t="s">
        <v>74</v>
      </c>
      <c r="D49" s="128" t="s">
        <v>112</v>
      </c>
      <c r="E49" s="129" t="s">
        <v>139</v>
      </c>
      <c r="F49" s="116">
        <f>G49/12/7217.1</f>
        <v>2.1150000230933013</v>
      </c>
      <c r="G49" s="136">
        <v>183170</v>
      </c>
      <c r="H49" s="142"/>
    </row>
    <row r="50" spans="2:8" ht="54" customHeight="1">
      <c r="B50" s="26" t="s">
        <v>50</v>
      </c>
      <c r="C50" s="20" t="s">
        <v>113</v>
      </c>
      <c r="D50" s="100" t="s">
        <v>69</v>
      </c>
      <c r="E50" s="56" t="s">
        <v>139</v>
      </c>
      <c r="F50" s="116">
        <f>G50/12/7217.1</f>
        <v>0.5400000230933015</v>
      </c>
      <c r="G50" s="136">
        <v>46766.81</v>
      </c>
      <c r="H50" s="142"/>
    </row>
    <row r="51" spans="2:8" ht="187.5" customHeight="1" hidden="1">
      <c r="B51" s="80"/>
      <c r="C51" s="13" t="s">
        <v>91</v>
      </c>
      <c r="D51" s="78"/>
      <c r="E51" s="56" t="s">
        <v>139</v>
      </c>
      <c r="F51" s="79"/>
      <c r="G51" s="146"/>
      <c r="H51" s="142"/>
    </row>
    <row r="52" spans="2:8" ht="43.5" customHeight="1">
      <c r="B52" s="45" t="s">
        <v>52</v>
      </c>
      <c r="C52" s="38" t="s">
        <v>41</v>
      </c>
      <c r="D52" s="4" t="s">
        <v>68</v>
      </c>
      <c r="E52" s="56" t="s">
        <v>139</v>
      </c>
      <c r="F52" s="116">
        <v>0</v>
      </c>
      <c r="G52" s="136">
        <v>0</v>
      </c>
      <c r="H52" s="142"/>
    </row>
    <row r="53" spans="2:8" ht="15" hidden="1">
      <c r="B53" s="25"/>
      <c r="C53" s="39" t="s">
        <v>15</v>
      </c>
      <c r="D53" s="17"/>
      <c r="E53" s="56" t="s">
        <v>139</v>
      </c>
      <c r="F53" s="90"/>
      <c r="G53" s="147"/>
      <c r="H53" s="142"/>
    </row>
    <row r="54" spans="2:8" ht="45" customHeight="1">
      <c r="B54" s="66" t="s">
        <v>53</v>
      </c>
      <c r="C54" s="67" t="s">
        <v>43</v>
      </c>
      <c r="D54" s="132" t="s">
        <v>162</v>
      </c>
      <c r="E54" s="56" t="s">
        <v>139</v>
      </c>
      <c r="F54" s="116">
        <f>G54/12/7217.1</f>
        <v>1.119999953813397</v>
      </c>
      <c r="G54" s="136">
        <v>96997.82</v>
      </c>
      <c r="H54" s="140"/>
    </row>
    <row r="55" spans="2:8" ht="0.75" customHeight="1" hidden="1">
      <c r="B55" s="93"/>
      <c r="C55" s="9" t="s">
        <v>114</v>
      </c>
      <c r="D55" s="64" t="s">
        <v>70</v>
      </c>
      <c r="E55" s="56" t="s">
        <v>139</v>
      </c>
      <c r="F55" s="90"/>
      <c r="G55" s="147"/>
      <c r="H55" s="142"/>
    </row>
    <row r="56" spans="2:8" ht="30" customHeight="1">
      <c r="B56" s="42" t="s">
        <v>55</v>
      </c>
      <c r="C56" s="19" t="s">
        <v>45</v>
      </c>
      <c r="D56" s="132" t="s">
        <v>162</v>
      </c>
      <c r="E56" s="56" t="s">
        <v>139</v>
      </c>
      <c r="F56" s="116">
        <f>G56/12/7217.1</f>
        <v>1.1800000461866031</v>
      </c>
      <c r="G56" s="136">
        <v>102194.14</v>
      </c>
      <c r="H56" s="142"/>
    </row>
    <row r="57" spans="2:8" ht="15" customHeight="1" hidden="1">
      <c r="B57" s="41" t="s">
        <v>115</v>
      </c>
      <c r="C57" s="9" t="s">
        <v>81</v>
      </c>
      <c r="D57" s="132" t="s">
        <v>162</v>
      </c>
      <c r="E57" s="56" t="s">
        <v>139</v>
      </c>
      <c r="F57" s="90"/>
      <c r="G57" s="147"/>
      <c r="H57" s="142"/>
    </row>
    <row r="58" spans="2:8" ht="154.5" customHeight="1" hidden="1">
      <c r="B58" s="41" t="s">
        <v>116</v>
      </c>
      <c r="C58" s="89" t="s">
        <v>82</v>
      </c>
      <c r="D58" s="132" t="s">
        <v>162</v>
      </c>
      <c r="E58" s="56" t="s">
        <v>139</v>
      </c>
      <c r="F58" s="95"/>
      <c r="G58" s="148"/>
      <c r="H58" s="142"/>
    </row>
    <row r="59" spans="2:8" ht="34.5" customHeight="1">
      <c r="B59" s="42" t="s">
        <v>57</v>
      </c>
      <c r="C59" s="19" t="s">
        <v>47</v>
      </c>
      <c r="D59" s="132" t="s">
        <v>162</v>
      </c>
      <c r="E59" s="56" t="s">
        <v>139</v>
      </c>
      <c r="F59" s="116">
        <f>G59/12/7217.1</f>
        <v>0.8800000461866031</v>
      </c>
      <c r="G59" s="136">
        <v>76212.58</v>
      </c>
      <c r="H59" s="142"/>
    </row>
    <row r="60" spans="2:8" ht="39.75" customHeight="1" hidden="1">
      <c r="B60" s="41" t="s">
        <v>117</v>
      </c>
      <c r="C60" s="91" t="s">
        <v>83</v>
      </c>
      <c r="D60" s="132" t="s">
        <v>162</v>
      </c>
      <c r="E60" s="56" t="s">
        <v>139</v>
      </c>
      <c r="F60" s="90"/>
      <c r="G60" s="147"/>
      <c r="H60" s="142"/>
    </row>
    <row r="61" spans="2:8" ht="39.75" customHeight="1" hidden="1">
      <c r="B61" s="41" t="s">
        <v>118</v>
      </c>
      <c r="C61" s="91" t="s">
        <v>84</v>
      </c>
      <c r="D61" s="132" t="s">
        <v>162</v>
      </c>
      <c r="E61" s="56" t="s">
        <v>139</v>
      </c>
      <c r="F61" s="90"/>
      <c r="G61" s="147"/>
      <c r="H61" s="142"/>
    </row>
    <row r="62" spans="2:8" ht="34.5" customHeight="1">
      <c r="B62" s="42" t="s">
        <v>59</v>
      </c>
      <c r="C62" s="19" t="s">
        <v>49</v>
      </c>
      <c r="D62" s="132" t="s">
        <v>162</v>
      </c>
      <c r="E62" s="56" t="s">
        <v>139</v>
      </c>
      <c r="F62" s="116">
        <f>G62/12/7217.1</f>
        <v>1.755000046186603</v>
      </c>
      <c r="G62" s="136">
        <v>151992.13</v>
      </c>
      <c r="H62" s="142"/>
    </row>
    <row r="63" spans="2:8" ht="151.5" customHeight="1" hidden="1">
      <c r="B63" s="93" t="s">
        <v>119</v>
      </c>
      <c r="C63" s="9" t="s">
        <v>120</v>
      </c>
      <c r="D63" s="132" t="s">
        <v>162</v>
      </c>
      <c r="E63" s="56" t="s">
        <v>139</v>
      </c>
      <c r="F63" s="96"/>
      <c r="G63" s="147"/>
      <c r="H63" s="142"/>
    </row>
    <row r="64" spans="2:8" ht="34.5" customHeight="1">
      <c r="B64" s="42" t="s">
        <v>60</v>
      </c>
      <c r="C64" s="19" t="s">
        <v>51</v>
      </c>
      <c r="D64" s="132" t="s">
        <v>162</v>
      </c>
      <c r="E64" s="56" t="s">
        <v>139</v>
      </c>
      <c r="F64" s="116">
        <f>G64/12/7217.1</f>
        <v>1.380000046186603</v>
      </c>
      <c r="G64" s="136">
        <v>119515.18</v>
      </c>
      <c r="H64" s="142"/>
    </row>
    <row r="65" spans="2:8" ht="60" customHeight="1">
      <c r="B65" s="98" t="s">
        <v>61</v>
      </c>
      <c r="C65" s="20" t="s">
        <v>121</v>
      </c>
      <c r="D65" s="111" t="s">
        <v>68</v>
      </c>
      <c r="E65" s="56" t="s">
        <v>139</v>
      </c>
      <c r="F65" s="116">
        <f>G65/12/7217.1</f>
        <v>0.28000004618660307</v>
      </c>
      <c r="G65" s="136">
        <v>24249.46</v>
      </c>
      <c r="H65" s="142"/>
    </row>
    <row r="66" spans="2:8" ht="99" customHeight="1">
      <c r="B66" s="26" t="s">
        <v>62</v>
      </c>
      <c r="C66" s="39" t="s">
        <v>122</v>
      </c>
      <c r="D66" s="158" t="s">
        <v>123</v>
      </c>
      <c r="E66" s="56" t="s">
        <v>139</v>
      </c>
      <c r="F66" s="116">
        <f>G66/12/7217.1</f>
        <v>8.545766766891594</v>
      </c>
      <c r="G66" s="136">
        <v>740107.84</v>
      </c>
      <c r="H66" s="142"/>
    </row>
    <row r="67" spans="2:8" ht="39.75" customHeight="1">
      <c r="B67" s="25"/>
      <c r="C67" s="170" t="s">
        <v>65</v>
      </c>
      <c r="D67" s="171"/>
      <c r="E67" s="171"/>
      <c r="F67" s="171"/>
      <c r="G67" s="145"/>
      <c r="H67" s="142"/>
    </row>
    <row r="68" spans="2:8" ht="34.5" customHeight="1">
      <c r="B68" s="26" t="s">
        <v>63</v>
      </c>
      <c r="C68" s="20" t="s">
        <v>54</v>
      </c>
      <c r="D68" s="85" t="s">
        <v>163</v>
      </c>
      <c r="E68" s="56" t="s">
        <v>139</v>
      </c>
      <c r="F68" s="116">
        <f>G68/12/7217.1</f>
        <v>1.5099999769066983</v>
      </c>
      <c r="G68" s="136">
        <v>130773.85</v>
      </c>
      <c r="H68" s="142"/>
    </row>
    <row r="69" spans="2:8" ht="30" customHeight="1">
      <c r="B69" s="42" t="s">
        <v>75</v>
      </c>
      <c r="C69" s="19" t="s">
        <v>56</v>
      </c>
      <c r="D69" s="112" t="s">
        <v>69</v>
      </c>
      <c r="E69" s="56" t="s">
        <v>139</v>
      </c>
      <c r="F69" s="116">
        <f>G69/12/7217.1</f>
        <v>0.009999976906698443</v>
      </c>
      <c r="G69" s="136">
        <v>866.05</v>
      </c>
      <c r="H69" s="142"/>
    </row>
    <row r="70" spans="2:8" ht="45" customHeight="1" hidden="1">
      <c r="B70" s="82"/>
      <c r="C70" s="89" t="s">
        <v>29</v>
      </c>
      <c r="D70" s="83"/>
      <c r="E70" s="56" t="s">
        <v>139</v>
      </c>
      <c r="F70" s="79"/>
      <c r="G70" s="146"/>
      <c r="H70" s="142"/>
    </row>
    <row r="71" spans="2:8" ht="48" customHeight="1">
      <c r="B71" s="42" t="s">
        <v>85</v>
      </c>
      <c r="C71" s="19" t="s">
        <v>58</v>
      </c>
      <c r="D71" s="85" t="s">
        <v>163</v>
      </c>
      <c r="E71" s="56" t="s">
        <v>139</v>
      </c>
      <c r="F71" s="116">
        <f>G71/12/7217.1</f>
        <v>1.580000046186603</v>
      </c>
      <c r="G71" s="136">
        <v>136836.22</v>
      </c>
      <c r="H71" s="142"/>
    </row>
    <row r="72" spans="2:8" ht="41.25" customHeight="1">
      <c r="B72" s="42" t="s">
        <v>86</v>
      </c>
      <c r="C72" s="19" t="s">
        <v>124</v>
      </c>
      <c r="D72" s="124" t="s">
        <v>67</v>
      </c>
      <c r="E72" s="56" t="s">
        <v>139</v>
      </c>
      <c r="F72" s="116">
        <f>G72/12/7217.1</f>
        <v>0.1300000461866031</v>
      </c>
      <c r="G72" s="136">
        <v>11258.68</v>
      </c>
      <c r="H72" s="142"/>
    </row>
    <row r="73" spans="2:8" ht="45.75" customHeight="1" hidden="1">
      <c r="B73" s="43" t="s">
        <v>136</v>
      </c>
      <c r="C73" s="94" t="s">
        <v>1</v>
      </c>
      <c r="D73" s="36" t="s">
        <v>67</v>
      </c>
      <c r="E73" s="56" t="s">
        <v>139</v>
      </c>
      <c r="F73" s="96"/>
      <c r="G73" s="147"/>
      <c r="H73" s="142"/>
    </row>
    <row r="74" spans="2:8" ht="45.75" customHeight="1" hidden="1">
      <c r="B74" s="41" t="s">
        <v>137</v>
      </c>
      <c r="C74" s="89" t="s">
        <v>2</v>
      </c>
      <c r="D74" s="92" t="s">
        <v>66</v>
      </c>
      <c r="E74" s="56" t="s">
        <v>139</v>
      </c>
      <c r="F74" s="97"/>
      <c r="G74" s="148"/>
      <c r="H74" s="142"/>
    </row>
    <row r="75" spans="2:8" ht="65.25" customHeight="1">
      <c r="B75" s="45" t="s">
        <v>125</v>
      </c>
      <c r="C75" s="38" t="s">
        <v>126</v>
      </c>
      <c r="D75" s="113" t="s">
        <v>71</v>
      </c>
      <c r="E75" s="56" t="s">
        <v>139</v>
      </c>
      <c r="F75" s="116">
        <f>G75/12/7217.1</f>
        <v>0.7400000230933015</v>
      </c>
      <c r="G75" s="136">
        <v>64087.85</v>
      </c>
      <c r="H75" s="142"/>
    </row>
    <row r="76" spans="2:8" ht="69.75" customHeight="1" hidden="1">
      <c r="B76" s="93"/>
      <c r="C76" s="9" t="s">
        <v>72</v>
      </c>
      <c r="D76" s="8" t="s">
        <v>71</v>
      </c>
      <c r="E76" s="56" t="s">
        <v>139</v>
      </c>
      <c r="F76" s="96"/>
      <c r="G76" s="147"/>
      <c r="H76" s="142"/>
    </row>
    <row r="77" spans="2:8" ht="45" customHeight="1">
      <c r="B77" s="26" t="s">
        <v>127</v>
      </c>
      <c r="C77" s="101" t="s">
        <v>30</v>
      </c>
      <c r="D77" s="111" t="s">
        <v>128</v>
      </c>
      <c r="E77" s="56" t="s">
        <v>139</v>
      </c>
      <c r="F77" s="116">
        <f aca="true" t="shared" si="0" ref="F77:F82">G77/12/7217.1</f>
        <v>3.3650000230933017</v>
      </c>
      <c r="G77" s="136">
        <v>291426.5</v>
      </c>
      <c r="H77" s="142"/>
    </row>
    <row r="78" spans="2:8" ht="60" customHeight="1">
      <c r="B78" s="26" t="s">
        <v>129</v>
      </c>
      <c r="C78" s="20" t="s">
        <v>73</v>
      </c>
      <c r="D78" s="159" t="s">
        <v>16</v>
      </c>
      <c r="E78" s="56" t="s">
        <v>139</v>
      </c>
      <c r="F78" s="116">
        <f t="shared" si="0"/>
        <v>0.28000004618660307</v>
      </c>
      <c r="G78" s="136">
        <v>24249.46</v>
      </c>
      <c r="H78" s="142"/>
    </row>
    <row r="79" spans="2:8" ht="34.5" customHeight="1">
      <c r="B79" s="87" t="s">
        <v>131</v>
      </c>
      <c r="C79" s="88" t="s">
        <v>130</v>
      </c>
      <c r="D79" s="114" t="s">
        <v>16</v>
      </c>
      <c r="E79" s="56" t="s">
        <v>139</v>
      </c>
      <c r="F79" s="116">
        <f t="shared" si="0"/>
        <v>0.06447291848526415</v>
      </c>
      <c r="G79" s="136">
        <v>5583.69</v>
      </c>
      <c r="H79" s="142"/>
    </row>
    <row r="80" spans="2:8" ht="19.5" customHeight="1">
      <c r="B80" s="87" t="s">
        <v>142</v>
      </c>
      <c r="C80" s="88" t="s">
        <v>132</v>
      </c>
      <c r="D80" s="114" t="s">
        <v>16</v>
      </c>
      <c r="E80" s="56" t="s">
        <v>139</v>
      </c>
      <c r="F80" s="116">
        <f t="shared" si="0"/>
        <v>0.011764767011680591</v>
      </c>
      <c r="G80" s="136">
        <v>1018.89</v>
      </c>
      <c r="H80" s="142"/>
    </row>
    <row r="81" spans="2:8" ht="19.5" customHeight="1">
      <c r="B81" s="87" t="s">
        <v>143</v>
      </c>
      <c r="C81" s="88" t="s">
        <v>141</v>
      </c>
      <c r="D81" s="114" t="s">
        <v>16</v>
      </c>
      <c r="E81" s="56" t="s">
        <v>139</v>
      </c>
      <c r="F81" s="116">
        <f t="shared" si="0"/>
        <v>0.010007251296688882</v>
      </c>
      <c r="G81" s="136">
        <v>866.68</v>
      </c>
      <c r="H81" s="142"/>
    </row>
    <row r="82" spans="2:8" ht="34.5" customHeight="1">
      <c r="B82" s="87" t="s">
        <v>144</v>
      </c>
      <c r="C82" s="88" t="s">
        <v>133</v>
      </c>
      <c r="D82" s="114" t="s">
        <v>16</v>
      </c>
      <c r="E82" s="56" t="s">
        <v>139</v>
      </c>
      <c r="F82" s="116">
        <f t="shared" si="0"/>
        <v>0.7797971715324253</v>
      </c>
      <c r="G82" s="136">
        <v>67534.49</v>
      </c>
      <c r="H82" s="142"/>
    </row>
    <row r="83" spans="2:8" ht="31.5">
      <c r="B83" s="26"/>
      <c r="C83" s="104" t="s">
        <v>134</v>
      </c>
      <c r="D83" s="17"/>
      <c r="E83" s="86"/>
      <c r="F83" s="133"/>
      <c r="G83" s="149">
        <f>-0.03+G82+G81+G80+G79+G78+G77+G75+G72+G71+G69+G68+G66+G65+G64+G62+G59+G56+G54+G52+G50+G49+G47+G43+G41+G39+G37+G35+G34+G30+G28+G26+G24+G22+G20+G18+G15+G14+G13+G12</f>
        <v>3921015.6300000004</v>
      </c>
      <c r="H83" s="142"/>
    </row>
    <row r="84" spans="2:8" ht="15.75" hidden="1">
      <c r="B84" s="77"/>
      <c r="C84" s="84"/>
      <c r="D84" s="81"/>
      <c r="E84" s="120"/>
      <c r="F84" s="117"/>
      <c r="G84" s="150"/>
      <c r="H84" s="142"/>
    </row>
  </sheetData>
  <sheetProtection/>
  <mergeCells count="3">
    <mergeCell ref="C16:F16"/>
    <mergeCell ref="C48:F48"/>
    <mergeCell ref="C67:F67"/>
  </mergeCells>
  <printOptions/>
  <pageMargins left="0.19" right="0.3" top="0.2755905511811024" bottom="0.275590551181102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65"/>
  <sheetViews>
    <sheetView zoomScalePageLayoutView="0" workbookViewId="0" topLeftCell="A1">
      <selection activeCell="C33" sqref="C33"/>
    </sheetView>
  </sheetViews>
  <sheetFormatPr defaultColWidth="9.140625" defaultRowHeight="12"/>
  <cols>
    <col min="2" max="2" width="42.00390625" style="0" customWidth="1"/>
    <col min="3" max="3" width="13.28125" style="0" customWidth="1"/>
    <col min="4" max="4" width="11.7109375" style="0" customWidth="1"/>
    <col min="5" max="5" width="13.28125" style="0" customWidth="1"/>
    <col min="6" max="6" width="16.8515625" style="0" customWidth="1"/>
    <col min="7" max="7" width="9.421875" style="0" bestFit="1" customWidth="1"/>
  </cols>
  <sheetData>
    <row r="3" ht="15">
      <c r="B3" s="1" t="s">
        <v>146</v>
      </c>
    </row>
    <row r="4" ht="15">
      <c r="B4" s="1"/>
    </row>
    <row r="5" ht="18.75">
      <c r="B5" s="14" t="s">
        <v>154</v>
      </c>
    </row>
    <row r="8" ht="12" hidden="1"/>
    <row r="9" ht="12" hidden="1"/>
    <row r="10" ht="12" hidden="1"/>
    <row r="11" ht="12" hidden="1"/>
    <row r="12" ht="12" hidden="1"/>
    <row r="13" ht="12" hidden="1"/>
    <row r="14" ht="12" hidden="1"/>
    <row r="15" ht="12" hidden="1"/>
    <row r="16" ht="12" hidden="1"/>
    <row r="17" ht="12" hidden="1"/>
    <row r="18" ht="12" hidden="1"/>
    <row r="19" spans="1:6" ht="99.75" customHeight="1">
      <c r="A19" s="121" t="s">
        <v>0</v>
      </c>
      <c r="B19" s="85" t="s">
        <v>88</v>
      </c>
      <c r="C19" s="56" t="s">
        <v>89</v>
      </c>
      <c r="D19" s="56" t="s">
        <v>138</v>
      </c>
      <c r="E19" s="56" t="s">
        <v>90</v>
      </c>
      <c r="F19" s="56" t="s">
        <v>135</v>
      </c>
    </row>
    <row r="20" spans="1:6" ht="14.25">
      <c r="A20" s="121" t="s">
        <v>93</v>
      </c>
      <c r="B20" s="85" t="s">
        <v>94</v>
      </c>
      <c r="C20" s="56" t="s">
        <v>95</v>
      </c>
      <c r="D20" s="56" t="s">
        <v>139</v>
      </c>
      <c r="E20" s="116">
        <f>F20/12063.5/12</f>
        <v>0.47</v>
      </c>
      <c r="F20" s="116">
        <v>68038.14</v>
      </c>
    </row>
    <row r="21" spans="1:7" ht="72.75">
      <c r="A21" s="121" t="s">
        <v>96</v>
      </c>
      <c r="B21" s="122" t="s">
        <v>97</v>
      </c>
      <c r="C21" s="56" t="s">
        <v>95</v>
      </c>
      <c r="D21" s="56" t="s">
        <v>139</v>
      </c>
      <c r="E21" s="116">
        <f>F21/12063.5/12</f>
        <v>0.18999999999999997</v>
      </c>
      <c r="F21" s="116">
        <v>27504.78</v>
      </c>
      <c r="G21" s="156"/>
    </row>
    <row r="22" spans="1:6" ht="14.25">
      <c r="A22" s="121" t="s">
        <v>98</v>
      </c>
      <c r="B22" s="122" t="s">
        <v>99</v>
      </c>
      <c r="C22" s="56" t="s">
        <v>95</v>
      </c>
      <c r="D22" s="56" t="s">
        <v>139</v>
      </c>
      <c r="E22" s="116">
        <f>F22/12063.5/12</f>
        <v>1.575</v>
      </c>
      <c r="F22" s="116">
        <v>228000.15</v>
      </c>
    </row>
    <row r="23" spans="1:6" ht="42.75">
      <c r="A23" s="121" t="s">
        <v>100</v>
      </c>
      <c r="B23" s="122" t="s">
        <v>101</v>
      </c>
      <c r="C23" s="56" t="s">
        <v>95</v>
      </c>
      <c r="D23" s="56" t="s">
        <v>139</v>
      </c>
      <c r="E23" s="116">
        <f>F23/12063.5/12</f>
        <v>1.2850000000000001</v>
      </c>
      <c r="F23" s="116">
        <v>186019.17</v>
      </c>
    </row>
    <row r="24" spans="1:6" ht="15">
      <c r="A24" s="30"/>
      <c r="B24" s="168" t="s">
        <v>6</v>
      </c>
      <c r="C24" s="169"/>
      <c r="D24" s="169"/>
      <c r="E24" s="169"/>
      <c r="F24" s="151"/>
    </row>
    <row r="25" spans="1:6" ht="14.25">
      <c r="A25" s="37"/>
      <c r="B25" s="75"/>
      <c r="C25" s="76"/>
      <c r="D25" s="76"/>
      <c r="E25" s="74"/>
      <c r="F25" s="74"/>
    </row>
    <row r="26" spans="1:6" ht="31.5">
      <c r="A26" s="31" t="s">
        <v>102</v>
      </c>
      <c r="B26" s="55" t="s">
        <v>19</v>
      </c>
      <c r="C26" s="123" t="s">
        <v>67</v>
      </c>
      <c r="D26" s="56" t="s">
        <v>139</v>
      </c>
      <c r="E26" s="116">
        <f aca="true" t="shared" si="0" ref="E26:E39">F26/12063.5/12</f>
        <v>0.59</v>
      </c>
      <c r="F26" s="116">
        <v>85409.58</v>
      </c>
    </row>
    <row r="27" spans="1:6" ht="14.25">
      <c r="A27" s="33" t="s">
        <v>103</v>
      </c>
      <c r="B27" s="12" t="s">
        <v>20</v>
      </c>
      <c r="C27" s="123" t="s">
        <v>67</v>
      </c>
      <c r="D27" s="56" t="s">
        <v>139</v>
      </c>
      <c r="E27" s="116">
        <f t="shared" si="0"/>
        <v>0.21</v>
      </c>
      <c r="F27" s="116">
        <v>30400.02</v>
      </c>
    </row>
    <row r="28" spans="1:6" ht="28.5">
      <c r="A28" s="66" t="s">
        <v>104</v>
      </c>
      <c r="B28" s="67" t="s">
        <v>21</v>
      </c>
      <c r="C28" s="108" t="s">
        <v>67</v>
      </c>
      <c r="D28" s="56" t="s">
        <v>139</v>
      </c>
      <c r="E28" s="116">
        <f t="shared" si="0"/>
        <v>0.18000000000000002</v>
      </c>
      <c r="F28" s="116">
        <v>26057.16</v>
      </c>
    </row>
    <row r="29" spans="1:6" ht="42.75">
      <c r="A29" s="42" t="s">
        <v>105</v>
      </c>
      <c r="B29" s="19" t="s">
        <v>22</v>
      </c>
      <c r="C29" s="107" t="s">
        <v>67</v>
      </c>
      <c r="D29" s="56" t="s">
        <v>139</v>
      </c>
      <c r="E29" s="116">
        <f t="shared" si="0"/>
        <v>0.09000000000000001</v>
      </c>
      <c r="F29" s="116">
        <v>13028.58</v>
      </c>
    </row>
    <row r="30" spans="1:6" ht="42.75">
      <c r="A30" s="51" t="s">
        <v>32</v>
      </c>
      <c r="B30" s="52" t="s">
        <v>31</v>
      </c>
      <c r="C30" s="109" t="s">
        <v>67</v>
      </c>
      <c r="D30" s="56" t="s">
        <v>139</v>
      </c>
      <c r="E30" s="116">
        <f t="shared" si="0"/>
        <v>0.03</v>
      </c>
      <c r="F30" s="116">
        <v>4342.86</v>
      </c>
    </row>
    <row r="31" spans="1:6" ht="42.75">
      <c r="A31" s="26" t="s">
        <v>33</v>
      </c>
      <c r="B31" s="20" t="s">
        <v>23</v>
      </c>
      <c r="C31" s="107" t="s">
        <v>67</v>
      </c>
      <c r="D31" s="56" t="s">
        <v>139</v>
      </c>
      <c r="E31" s="116">
        <f t="shared" si="0"/>
        <v>0.03</v>
      </c>
      <c r="F31" s="116">
        <v>4342.86</v>
      </c>
    </row>
    <row r="32" spans="1:6" ht="28.5">
      <c r="A32" s="45" t="s">
        <v>34</v>
      </c>
      <c r="B32" s="38" t="s">
        <v>24</v>
      </c>
      <c r="C32" s="4" t="s">
        <v>112</v>
      </c>
      <c r="D32" s="56" t="s">
        <v>139</v>
      </c>
      <c r="E32" s="116">
        <f t="shared" si="0"/>
        <v>2.84</v>
      </c>
      <c r="F32" s="116">
        <v>411124.08</v>
      </c>
    </row>
    <row r="33" spans="1:6" ht="28.5">
      <c r="A33" s="66" t="s">
        <v>35</v>
      </c>
      <c r="B33" s="160" t="s">
        <v>25</v>
      </c>
      <c r="C33" s="85" t="s">
        <v>112</v>
      </c>
      <c r="D33" s="56" t="s">
        <v>139</v>
      </c>
      <c r="E33" s="116">
        <f t="shared" si="0"/>
        <v>1.25</v>
      </c>
      <c r="F33" s="116">
        <v>180952.5</v>
      </c>
    </row>
    <row r="34" spans="1:6" ht="28.5">
      <c r="A34" s="42" t="s">
        <v>37</v>
      </c>
      <c r="B34" s="19" t="s">
        <v>26</v>
      </c>
      <c r="C34" s="109" t="s">
        <v>67</v>
      </c>
      <c r="D34" s="56" t="s">
        <v>139</v>
      </c>
      <c r="E34" s="116">
        <f t="shared" si="0"/>
        <v>0.7799999999999999</v>
      </c>
      <c r="F34" s="116">
        <v>112914.36</v>
      </c>
    </row>
    <row r="35" spans="1:6" ht="28.5">
      <c r="A35" s="42" t="s">
        <v>39</v>
      </c>
      <c r="B35" s="19" t="s">
        <v>27</v>
      </c>
      <c r="C35" s="109" t="s">
        <v>67</v>
      </c>
      <c r="D35" s="56" t="s">
        <v>139</v>
      </c>
      <c r="E35" s="116">
        <f t="shared" si="0"/>
        <v>0.049999999999999996</v>
      </c>
      <c r="F35" s="116">
        <v>7238.1</v>
      </c>
    </row>
    <row r="36" spans="1:6" ht="42.75">
      <c r="A36" s="66" t="s">
        <v>40</v>
      </c>
      <c r="B36" s="67" t="s">
        <v>28</v>
      </c>
      <c r="C36" s="108" t="s">
        <v>67</v>
      </c>
      <c r="D36" s="56" t="s">
        <v>139</v>
      </c>
      <c r="E36" s="116">
        <f t="shared" si="0"/>
        <v>0.47</v>
      </c>
      <c r="F36" s="116">
        <v>68038.14</v>
      </c>
    </row>
    <row r="37" spans="1:6" ht="57">
      <c r="A37" s="66" t="s">
        <v>42</v>
      </c>
      <c r="B37" s="67" t="s">
        <v>36</v>
      </c>
      <c r="C37" s="132" t="s">
        <v>67</v>
      </c>
      <c r="D37" s="56" t="s">
        <v>139</v>
      </c>
      <c r="E37" s="116">
        <f t="shared" si="0"/>
        <v>0.049999999999999996</v>
      </c>
      <c r="F37" s="116">
        <v>7238.1</v>
      </c>
    </row>
    <row r="38" spans="1:6" ht="71.25">
      <c r="A38" s="42" t="s">
        <v>44</v>
      </c>
      <c r="B38" s="19" t="s">
        <v>38</v>
      </c>
      <c r="C38" s="110" t="s">
        <v>67</v>
      </c>
      <c r="D38" s="56" t="s">
        <v>139</v>
      </c>
      <c r="E38" s="116">
        <f t="shared" si="0"/>
        <v>0.18000000000000002</v>
      </c>
      <c r="F38" s="116">
        <v>26057.16</v>
      </c>
    </row>
    <row r="39" spans="1:6" ht="28.5">
      <c r="A39" s="42" t="s">
        <v>46</v>
      </c>
      <c r="B39" s="126" t="s">
        <v>140</v>
      </c>
      <c r="C39" s="127" t="s">
        <v>112</v>
      </c>
      <c r="D39" s="115" t="s">
        <v>139</v>
      </c>
      <c r="E39" s="116">
        <f t="shared" si="0"/>
        <v>0</v>
      </c>
      <c r="F39" s="152">
        <v>0</v>
      </c>
    </row>
    <row r="40" spans="1:6" ht="15" customHeight="1">
      <c r="A40" s="125"/>
      <c r="B40" s="170" t="s">
        <v>64</v>
      </c>
      <c r="C40" s="171"/>
      <c r="D40" s="171"/>
      <c r="E40" s="171"/>
      <c r="F40" s="153"/>
    </row>
    <row r="41" spans="1:6" ht="57">
      <c r="A41" s="26" t="s">
        <v>48</v>
      </c>
      <c r="B41" s="52" t="s">
        <v>74</v>
      </c>
      <c r="C41" s="128" t="s">
        <v>112</v>
      </c>
      <c r="D41" s="129" t="s">
        <v>139</v>
      </c>
      <c r="E41" s="116">
        <f aca="true" t="shared" si="1" ref="E41:E50">F41/12063.5/12</f>
        <v>2.2100000000000004</v>
      </c>
      <c r="F41" s="116">
        <v>319924.02</v>
      </c>
    </row>
    <row r="42" spans="1:6" ht="42.75">
      <c r="A42" s="26" t="s">
        <v>50</v>
      </c>
      <c r="B42" s="20" t="s">
        <v>113</v>
      </c>
      <c r="C42" s="100" t="s">
        <v>69</v>
      </c>
      <c r="D42" s="56" t="s">
        <v>139</v>
      </c>
      <c r="E42" s="116">
        <f t="shared" si="1"/>
        <v>0.5800000000000001</v>
      </c>
      <c r="F42" s="116">
        <v>83961.96</v>
      </c>
    </row>
    <row r="43" spans="1:6" ht="42.75">
      <c r="A43" s="45" t="s">
        <v>52</v>
      </c>
      <c r="B43" s="38" t="s">
        <v>41</v>
      </c>
      <c r="C43" s="4" t="s">
        <v>68</v>
      </c>
      <c r="D43" s="56" t="s">
        <v>139</v>
      </c>
      <c r="E43" s="116">
        <f t="shared" si="1"/>
        <v>0</v>
      </c>
      <c r="F43" s="116">
        <v>0</v>
      </c>
    </row>
    <row r="44" spans="1:6" ht="42.75">
      <c r="A44" s="66" t="s">
        <v>53</v>
      </c>
      <c r="B44" s="67" t="s">
        <v>43</v>
      </c>
      <c r="C44" s="132" t="s">
        <v>162</v>
      </c>
      <c r="D44" s="56" t="s">
        <v>139</v>
      </c>
      <c r="E44" s="116">
        <f t="shared" si="1"/>
        <v>1.2</v>
      </c>
      <c r="F44" s="116">
        <v>173714.4</v>
      </c>
    </row>
    <row r="45" spans="1:6" ht="42.75">
      <c r="A45" s="42" t="s">
        <v>55</v>
      </c>
      <c r="B45" s="19" t="s">
        <v>45</v>
      </c>
      <c r="C45" s="132" t="s">
        <v>162</v>
      </c>
      <c r="D45" s="56" t="s">
        <v>139</v>
      </c>
      <c r="E45" s="116">
        <f t="shared" si="1"/>
        <v>1.2699999999999998</v>
      </c>
      <c r="F45" s="116">
        <v>183847.74</v>
      </c>
    </row>
    <row r="46" spans="1:6" ht="42.75">
      <c r="A46" s="42" t="s">
        <v>57</v>
      </c>
      <c r="B46" s="19" t="s">
        <v>47</v>
      </c>
      <c r="C46" s="132" t="s">
        <v>162</v>
      </c>
      <c r="D46" s="56" t="s">
        <v>139</v>
      </c>
      <c r="E46" s="116">
        <f t="shared" si="1"/>
        <v>0.9500000000000001</v>
      </c>
      <c r="F46" s="116">
        <v>137523.9</v>
      </c>
    </row>
    <row r="47" spans="1:6" ht="42.75">
      <c r="A47" s="42" t="s">
        <v>59</v>
      </c>
      <c r="B47" s="19" t="s">
        <v>49</v>
      </c>
      <c r="C47" s="132" t="s">
        <v>162</v>
      </c>
      <c r="D47" s="56" t="s">
        <v>139</v>
      </c>
      <c r="E47" s="116">
        <f t="shared" si="1"/>
        <v>1.9149999999999998</v>
      </c>
      <c r="F47" s="116">
        <v>277219.23</v>
      </c>
    </row>
    <row r="48" spans="1:6" ht="42.75">
      <c r="A48" s="42" t="s">
        <v>60</v>
      </c>
      <c r="B48" s="19" t="s">
        <v>51</v>
      </c>
      <c r="C48" s="132" t="s">
        <v>162</v>
      </c>
      <c r="D48" s="56" t="s">
        <v>139</v>
      </c>
      <c r="E48" s="116">
        <f t="shared" si="1"/>
        <v>1.4800000000000002</v>
      </c>
      <c r="F48" s="116">
        <v>214247.76</v>
      </c>
    </row>
    <row r="49" spans="1:6" ht="57">
      <c r="A49" s="98" t="s">
        <v>61</v>
      </c>
      <c r="B49" s="20" t="s">
        <v>121</v>
      </c>
      <c r="C49" s="111" t="s">
        <v>68</v>
      </c>
      <c r="D49" s="56" t="s">
        <v>139</v>
      </c>
      <c r="E49" s="116">
        <f t="shared" si="1"/>
        <v>0</v>
      </c>
      <c r="F49" s="116">
        <v>0</v>
      </c>
    </row>
    <row r="50" spans="1:6" ht="114">
      <c r="A50" s="26" t="s">
        <v>62</v>
      </c>
      <c r="B50" s="39" t="s">
        <v>122</v>
      </c>
      <c r="C50" s="158" t="s">
        <v>123</v>
      </c>
      <c r="D50" s="56" t="s">
        <v>139</v>
      </c>
      <c r="E50" s="116">
        <f t="shared" si="1"/>
        <v>8.936279962973709</v>
      </c>
      <c r="F50" s="116">
        <v>1293633.76</v>
      </c>
    </row>
    <row r="51" spans="1:6" ht="15" customHeight="1">
      <c r="A51" s="25"/>
      <c r="B51" s="170" t="s">
        <v>65</v>
      </c>
      <c r="C51" s="171"/>
      <c r="D51" s="171"/>
      <c r="E51" s="171"/>
      <c r="F51" s="153"/>
    </row>
    <row r="52" spans="1:6" ht="42.75">
      <c r="A52" s="26" t="s">
        <v>63</v>
      </c>
      <c r="B52" s="20" t="s">
        <v>54</v>
      </c>
      <c r="C52" s="85" t="s">
        <v>112</v>
      </c>
      <c r="D52" s="56" t="s">
        <v>139</v>
      </c>
      <c r="E52" s="116">
        <f aca="true" t="shared" si="2" ref="E52:E62">F52/12063.5/12</f>
        <v>1.76</v>
      </c>
      <c r="F52" s="116">
        <v>254781.12</v>
      </c>
    </row>
    <row r="53" spans="1:6" ht="42.75">
      <c r="A53" s="42" t="s">
        <v>75</v>
      </c>
      <c r="B53" s="19" t="s">
        <v>56</v>
      </c>
      <c r="C53" s="112" t="s">
        <v>69</v>
      </c>
      <c r="D53" s="56" t="s">
        <v>139</v>
      </c>
      <c r="E53" s="116">
        <f t="shared" si="2"/>
        <v>0.01</v>
      </c>
      <c r="F53" s="116">
        <v>1447.62</v>
      </c>
    </row>
    <row r="54" spans="1:6" ht="42.75">
      <c r="A54" s="42" t="s">
        <v>85</v>
      </c>
      <c r="B54" s="19" t="s">
        <v>58</v>
      </c>
      <c r="C54" s="16" t="s">
        <v>112</v>
      </c>
      <c r="D54" s="56" t="s">
        <v>139</v>
      </c>
      <c r="E54" s="116">
        <f t="shared" si="2"/>
        <v>1.7300000000000002</v>
      </c>
      <c r="F54" s="116">
        <v>250438.26</v>
      </c>
    </row>
    <row r="55" spans="1:6" ht="42.75">
      <c r="A55" s="42" t="s">
        <v>86</v>
      </c>
      <c r="B55" s="19" t="s">
        <v>124</v>
      </c>
      <c r="C55" s="124" t="s">
        <v>67</v>
      </c>
      <c r="D55" s="56" t="s">
        <v>139</v>
      </c>
      <c r="E55" s="116">
        <f t="shared" si="2"/>
        <v>0.13999999999999999</v>
      </c>
      <c r="F55" s="116">
        <v>20266.68</v>
      </c>
    </row>
    <row r="56" spans="1:6" ht="57">
      <c r="A56" s="45" t="s">
        <v>125</v>
      </c>
      <c r="B56" s="38" t="s">
        <v>126</v>
      </c>
      <c r="C56" s="113" t="s">
        <v>71</v>
      </c>
      <c r="D56" s="56" t="s">
        <v>139</v>
      </c>
      <c r="E56" s="116">
        <f t="shared" si="2"/>
        <v>0.7999999999999999</v>
      </c>
      <c r="F56" s="116">
        <v>115809.6</v>
      </c>
    </row>
    <row r="57" spans="1:6" ht="31.5">
      <c r="A57" s="26" t="s">
        <v>127</v>
      </c>
      <c r="B57" s="101" t="s">
        <v>30</v>
      </c>
      <c r="C57" s="111" t="s">
        <v>128</v>
      </c>
      <c r="D57" s="56" t="s">
        <v>139</v>
      </c>
      <c r="E57" s="116">
        <f t="shared" si="2"/>
        <v>3.4949999999999997</v>
      </c>
      <c r="F57" s="116">
        <v>505943.19</v>
      </c>
    </row>
    <row r="58" spans="1:6" ht="28.5">
      <c r="A58" s="26" t="s">
        <v>129</v>
      </c>
      <c r="B58" s="160" t="s">
        <v>73</v>
      </c>
      <c r="C58" s="161" t="s">
        <v>16</v>
      </c>
      <c r="D58" s="56" t="s">
        <v>139</v>
      </c>
      <c r="E58" s="116">
        <f t="shared" si="2"/>
        <v>0.3</v>
      </c>
      <c r="F58" s="116">
        <v>43428.6</v>
      </c>
    </row>
    <row r="59" spans="1:6" ht="14.25">
      <c r="A59" s="87" t="s">
        <v>131</v>
      </c>
      <c r="B59" s="88" t="s">
        <v>130</v>
      </c>
      <c r="C59" s="114" t="s">
        <v>16</v>
      </c>
      <c r="D59" s="56" t="s">
        <v>139</v>
      </c>
      <c r="E59" s="116">
        <f t="shared" si="2"/>
        <v>0.08327136955830951</v>
      </c>
      <c r="F59" s="116">
        <f>8194.83+1929.85+1929.85</f>
        <v>12054.53</v>
      </c>
    </row>
    <row r="60" spans="1:6" ht="14.25">
      <c r="A60" s="87" t="s">
        <v>142</v>
      </c>
      <c r="B60" s="88" t="s">
        <v>132</v>
      </c>
      <c r="C60" s="114" t="s">
        <v>16</v>
      </c>
      <c r="D60" s="56" t="s">
        <v>139</v>
      </c>
      <c r="E60" s="116">
        <f t="shared" si="2"/>
        <v>0.01538953592793689</v>
      </c>
      <c r="F60" s="116">
        <f>1559.68+334.07+334.07</f>
        <v>2227.82</v>
      </c>
    </row>
    <row r="61" spans="1:6" ht="14.25">
      <c r="A61" s="87" t="s">
        <v>143</v>
      </c>
      <c r="B61" s="88" t="s">
        <v>141</v>
      </c>
      <c r="C61" s="114" t="s">
        <v>16</v>
      </c>
      <c r="D61" s="56" t="s">
        <v>139</v>
      </c>
      <c r="E61" s="116">
        <f t="shared" si="2"/>
        <v>0.017667481797709345</v>
      </c>
      <c r="F61" s="116">
        <v>2557.58</v>
      </c>
    </row>
    <row r="62" spans="1:6" ht="13.5" customHeight="1">
      <c r="A62" s="87" t="s">
        <v>144</v>
      </c>
      <c r="B62" s="88" t="s">
        <v>133</v>
      </c>
      <c r="C62" s="114" t="s">
        <v>16</v>
      </c>
      <c r="D62" s="56" t="s">
        <v>139</v>
      </c>
      <c r="E62" s="116">
        <f t="shared" si="2"/>
        <v>1.0707532363465548</v>
      </c>
      <c r="F62" s="116">
        <f>115918.26+19542.78+19542.78+0.56</f>
        <v>155004.37999999998</v>
      </c>
    </row>
    <row r="63" spans="1:6" ht="31.5" customHeight="1" hidden="1">
      <c r="A63" s="26"/>
      <c r="B63" s="101" t="s">
        <v>145</v>
      </c>
      <c r="C63" s="17"/>
      <c r="D63" s="86"/>
      <c r="E63" s="133"/>
      <c r="F63" s="133">
        <f>F58+F57+F56+F55+F54+F53+F52+F50+F49+F48+F47+F46+F45+F44+F43+F42+F41+F39+F38+F37+F36+F35+F34+F33+F32+F31+F30+F29+F28+F27+F26+F23+F22+F21+F20</f>
        <v>5362893.580000001</v>
      </c>
    </row>
    <row r="64" spans="1:6" ht="15.75" customHeight="1" hidden="1">
      <c r="A64" s="77"/>
      <c r="B64" s="84"/>
      <c r="C64" s="81"/>
      <c r="D64" s="120"/>
      <c r="E64" s="117"/>
      <c r="F64" s="96"/>
    </row>
    <row r="65" spans="1:6" ht="31.5">
      <c r="A65" s="99"/>
      <c r="B65" s="104" t="s">
        <v>134</v>
      </c>
      <c r="C65" s="105"/>
      <c r="D65" s="56"/>
      <c r="E65" s="102"/>
      <c r="F65" s="102">
        <f>F63+F62+F61+F60+F59</f>
        <v>5534737.8900000015</v>
      </c>
    </row>
  </sheetData>
  <sheetProtection/>
  <mergeCells count="3">
    <mergeCell ref="B40:E40"/>
    <mergeCell ref="B24:E24"/>
    <mergeCell ref="B51:E5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2:F65"/>
  <sheetViews>
    <sheetView zoomScalePageLayoutView="0" workbookViewId="0" topLeftCell="A1">
      <selection activeCell="C48" sqref="C48"/>
    </sheetView>
  </sheetViews>
  <sheetFormatPr defaultColWidth="9.140625" defaultRowHeight="12"/>
  <cols>
    <col min="1" max="1" width="6.28125" style="0" customWidth="1"/>
    <col min="2" max="2" width="45.57421875" style="0" customWidth="1"/>
    <col min="3" max="3" width="14.7109375" style="0" customWidth="1"/>
    <col min="4" max="4" width="11.421875" style="0" customWidth="1"/>
    <col min="5" max="5" width="12.421875" style="0" customWidth="1"/>
    <col min="6" max="6" width="16.8515625" style="0" customWidth="1"/>
  </cols>
  <sheetData>
    <row r="2" ht="0.75" customHeight="1"/>
    <row r="3" ht="12" hidden="1"/>
    <row r="4" ht="12" hidden="1"/>
    <row r="5" ht="12" hidden="1"/>
    <row r="6" ht="12" hidden="1"/>
    <row r="7" ht="12" hidden="1"/>
    <row r="8" ht="12" hidden="1"/>
    <row r="9" ht="12" hidden="1"/>
    <row r="12" ht="15">
      <c r="B12" s="1" t="s">
        <v>146</v>
      </c>
    </row>
    <row r="13" ht="15">
      <c r="B13" s="1"/>
    </row>
    <row r="14" ht="18.75">
      <c r="B14" s="14" t="s">
        <v>155</v>
      </c>
    </row>
    <row r="19" spans="1:6" ht="85.5">
      <c r="A19" s="121" t="s">
        <v>0</v>
      </c>
      <c r="B19" s="85" t="s">
        <v>88</v>
      </c>
      <c r="C19" s="56" t="s">
        <v>89</v>
      </c>
      <c r="D19" s="56" t="s">
        <v>138</v>
      </c>
      <c r="E19" s="56" t="s">
        <v>90</v>
      </c>
      <c r="F19" s="56" t="s">
        <v>135</v>
      </c>
    </row>
    <row r="20" spans="1:6" ht="14.25">
      <c r="A20" s="121" t="s">
        <v>93</v>
      </c>
      <c r="B20" s="85" t="s">
        <v>94</v>
      </c>
      <c r="C20" s="56" t="s">
        <v>95</v>
      </c>
      <c r="D20" s="56" t="s">
        <v>139</v>
      </c>
      <c r="E20" s="116">
        <f>F20/3869.7/12</f>
        <v>0.4700000430696609</v>
      </c>
      <c r="F20" s="116">
        <v>21825.11</v>
      </c>
    </row>
    <row r="21" spans="1:6" ht="57.75">
      <c r="A21" s="121" t="s">
        <v>96</v>
      </c>
      <c r="B21" s="122" t="s">
        <v>97</v>
      </c>
      <c r="C21" s="56" t="s">
        <v>95</v>
      </c>
      <c r="D21" s="56" t="s">
        <v>139</v>
      </c>
      <c r="E21" s="116">
        <f>F21/3869.7/12</f>
        <v>0.19000008613932173</v>
      </c>
      <c r="F21" s="116">
        <v>8822.92</v>
      </c>
    </row>
    <row r="22" spans="1:6" ht="14.25">
      <c r="A22" s="121" t="s">
        <v>98</v>
      </c>
      <c r="B22" s="122" t="s">
        <v>99</v>
      </c>
      <c r="C22" s="56" t="s">
        <v>95</v>
      </c>
      <c r="D22" s="56" t="s">
        <v>139</v>
      </c>
      <c r="E22" s="116">
        <f>F22/3869.7/12</f>
        <v>1.5750000000000002</v>
      </c>
      <c r="F22" s="116">
        <v>73137.33</v>
      </c>
    </row>
    <row r="23" spans="1:6" ht="42.75">
      <c r="A23" s="121" t="s">
        <v>100</v>
      </c>
      <c r="B23" s="122" t="s">
        <v>101</v>
      </c>
      <c r="C23" s="56" t="s">
        <v>95</v>
      </c>
      <c r="D23" s="56" t="s">
        <v>139</v>
      </c>
      <c r="E23" s="116">
        <f>F23/3869.7/12</f>
        <v>1.2849999138606782</v>
      </c>
      <c r="F23" s="116">
        <v>59670.77</v>
      </c>
    </row>
    <row r="24" spans="1:6" ht="15">
      <c r="A24" s="30"/>
      <c r="B24" s="168" t="s">
        <v>6</v>
      </c>
      <c r="C24" s="169"/>
      <c r="D24" s="169"/>
      <c r="E24" s="169"/>
      <c r="F24" s="151"/>
    </row>
    <row r="25" spans="1:6" ht="14.25">
      <c r="A25" s="37"/>
      <c r="B25" s="75"/>
      <c r="C25" s="76"/>
      <c r="D25" s="76"/>
      <c r="E25" s="74"/>
      <c r="F25" s="74"/>
    </row>
    <row r="26" spans="1:6" ht="31.5">
      <c r="A26" s="31" t="s">
        <v>102</v>
      </c>
      <c r="B26" s="55" t="s">
        <v>19</v>
      </c>
      <c r="C26" s="123" t="s">
        <v>67</v>
      </c>
      <c r="D26" s="56" t="s">
        <v>139</v>
      </c>
      <c r="E26" s="116">
        <f aca="true" t="shared" si="0" ref="E26:E39">F26/3869.7/12</f>
        <v>0.5899994400944087</v>
      </c>
      <c r="F26" s="116">
        <v>27397.45</v>
      </c>
    </row>
    <row r="27" spans="1:6" ht="14.25">
      <c r="A27" s="33" t="s">
        <v>103</v>
      </c>
      <c r="B27" s="12" t="s">
        <v>20</v>
      </c>
      <c r="C27" s="123" t="s">
        <v>67</v>
      </c>
      <c r="D27" s="56" t="s">
        <v>139</v>
      </c>
      <c r="E27" s="116">
        <f t="shared" si="0"/>
        <v>0.20999991386067826</v>
      </c>
      <c r="F27" s="116">
        <v>9751.64</v>
      </c>
    </row>
    <row r="28" spans="1:6" ht="28.5">
      <c r="A28" s="66" t="s">
        <v>104</v>
      </c>
      <c r="B28" s="67" t="s">
        <v>21</v>
      </c>
      <c r="C28" s="108" t="s">
        <v>67</v>
      </c>
      <c r="D28" s="56" t="s">
        <v>139</v>
      </c>
      <c r="E28" s="116">
        <f t="shared" si="0"/>
        <v>0.17999995693033913</v>
      </c>
      <c r="F28" s="116">
        <v>8358.55</v>
      </c>
    </row>
    <row r="29" spans="1:6" ht="42.75">
      <c r="A29" s="42" t="s">
        <v>105</v>
      </c>
      <c r="B29" s="19" t="s">
        <v>22</v>
      </c>
      <c r="C29" s="107" t="s">
        <v>67</v>
      </c>
      <c r="D29" s="56" t="s">
        <v>139</v>
      </c>
      <c r="E29" s="116">
        <f t="shared" si="0"/>
        <v>0.09000008613932174</v>
      </c>
      <c r="F29" s="116">
        <v>4179.28</v>
      </c>
    </row>
    <row r="30" spans="1:6" ht="42.75">
      <c r="A30" s="51" t="s">
        <v>32</v>
      </c>
      <c r="B30" s="52" t="s">
        <v>31</v>
      </c>
      <c r="C30" s="109" t="s">
        <v>67</v>
      </c>
      <c r="D30" s="56" t="s">
        <v>139</v>
      </c>
      <c r="E30" s="116">
        <f t="shared" si="0"/>
        <v>0.02999995693033913</v>
      </c>
      <c r="F30" s="116">
        <v>1393.09</v>
      </c>
    </row>
    <row r="31" spans="1:6" ht="42.75">
      <c r="A31" s="26" t="s">
        <v>33</v>
      </c>
      <c r="B31" s="20" t="s">
        <v>23</v>
      </c>
      <c r="C31" s="107" t="s">
        <v>67</v>
      </c>
      <c r="D31" s="56" t="s">
        <v>139</v>
      </c>
      <c r="E31" s="116">
        <f t="shared" si="0"/>
        <v>0.02999995693033913</v>
      </c>
      <c r="F31" s="116">
        <v>1393.09</v>
      </c>
    </row>
    <row r="32" spans="1:6" ht="28.5">
      <c r="A32" s="45" t="s">
        <v>34</v>
      </c>
      <c r="B32" s="38" t="s">
        <v>24</v>
      </c>
      <c r="C32" s="4" t="s">
        <v>112</v>
      </c>
      <c r="D32" s="56" t="s">
        <v>139</v>
      </c>
      <c r="E32" s="116">
        <f t="shared" si="0"/>
        <v>2.8400000861393218</v>
      </c>
      <c r="F32" s="116">
        <v>131879.38</v>
      </c>
    </row>
    <row r="33" spans="1:6" ht="28.5">
      <c r="A33" s="66" t="s">
        <v>35</v>
      </c>
      <c r="B33" s="67" t="s">
        <v>25</v>
      </c>
      <c r="C33" s="130" t="s">
        <v>112</v>
      </c>
      <c r="D33" s="56" t="s">
        <v>139</v>
      </c>
      <c r="E33" s="116">
        <f t="shared" si="0"/>
        <v>1.2499989232584783</v>
      </c>
      <c r="F33" s="116">
        <v>58045.45</v>
      </c>
    </row>
    <row r="34" spans="1:6" ht="28.5">
      <c r="A34" s="42" t="s">
        <v>37</v>
      </c>
      <c r="B34" s="19" t="s">
        <v>26</v>
      </c>
      <c r="C34" s="109" t="s">
        <v>67</v>
      </c>
      <c r="D34" s="56" t="s">
        <v>139</v>
      </c>
      <c r="E34" s="116">
        <f t="shared" si="0"/>
        <v>0.7799999569303392</v>
      </c>
      <c r="F34" s="116">
        <v>36220.39</v>
      </c>
    </row>
    <row r="35" spans="1:6" ht="28.5">
      <c r="A35" s="42" t="s">
        <v>39</v>
      </c>
      <c r="B35" s="19" t="s">
        <v>27</v>
      </c>
      <c r="C35" s="109" t="s">
        <v>67</v>
      </c>
      <c r="D35" s="56" t="s">
        <v>139</v>
      </c>
      <c r="E35" s="116">
        <f t="shared" si="0"/>
        <v>0.05000000000000001</v>
      </c>
      <c r="F35" s="116">
        <v>2321.82</v>
      </c>
    </row>
    <row r="36" spans="1:6" ht="42.75">
      <c r="A36" s="66" t="s">
        <v>40</v>
      </c>
      <c r="B36" s="67" t="s">
        <v>28</v>
      </c>
      <c r="C36" s="108" t="s">
        <v>67</v>
      </c>
      <c r="D36" s="56" t="s">
        <v>139</v>
      </c>
      <c r="E36" s="116">
        <f t="shared" si="0"/>
        <v>0.4700000430696609</v>
      </c>
      <c r="F36" s="116">
        <v>21825.11</v>
      </c>
    </row>
    <row r="37" spans="1:6" ht="57">
      <c r="A37" s="66" t="s">
        <v>42</v>
      </c>
      <c r="B37" s="67" t="s">
        <v>36</v>
      </c>
      <c r="C37" s="132" t="s">
        <v>67</v>
      </c>
      <c r="D37" s="56" t="s">
        <v>139</v>
      </c>
      <c r="E37" s="116">
        <f t="shared" si="0"/>
        <v>0.05000000000000001</v>
      </c>
      <c r="F37" s="116">
        <v>2321.82</v>
      </c>
    </row>
    <row r="38" spans="1:6" ht="57">
      <c r="A38" s="42" t="s">
        <v>44</v>
      </c>
      <c r="B38" s="19" t="s">
        <v>38</v>
      </c>
      <c r="C38" s="110" t="s">
        <v>67</v>
      </c>
      <c r="D38" s="56" t="s">
        <v>139</v>
      </c>
      <c r="E38" s="116">
        <f t="shared" si="0"/>
        <v>0.17999995693033913</v>
      </c>
      <c r="F38" s="116">
        <v>8358.55</v>
      </c>
    </row>
    <row r="39" spans="1:6" ht="14.25">
      <c r="A39" s="42" t="s">
        <v>46</v>
      </c>
      <c r="B39" s="126" t="s">
        <v>140</v>
      </c>
      <c r="C39" s="127" t="s">
        <v>112</v>
      </c>
      <c r="D39" s="115" t="s">
        <v>139</v>
      </c>
      <c r="E39" s="116">
        <f t="shared" si="0"/>
        <v>0.8630061761893688</v>
      </c>
      <c r="F39" s="152">
        <v>40074.9</v>
      </c>
    </row>
    <row r="40" spans="1:6" ht="15" customHeight="1">
      <c r="A40" s="125"/>
      <c r="B40" s="170" t="s">
        <v>64</v>
      </c>
      <c r="C40" s="171"/>
      <c r="D40" s="171"/>
      <c r="E40" s="171"/>
      <c r="F40" s="153"/>
    </row>
    <row r="41" spans="1:6" ht="42.75">
      <c r="A41" s="26" t="s">
        <v>48</v>
      </c>
      <c r="B41" s="52" t="s">
        <v>74</v>
      </c>
      <c r="C41" s="128" t="s">
        <v>112</v>
      </c>
      <c r="D41" s="129" t="s">
        <v>139</v>
      </c>
      <c r="E41" s="116">
        <f>F41/3869.7/12</f>
        <v>2.2099999138606785</v>
      </c>
      <c r="F41" s="116">
        <v>102624.44</v>
      </c>
    </row>
    <row r="42" spans="1:6" ht="42.75">
      <c r="A42" s="26" t="s">
        <v>50</v>
      </c>
      <c r="B42" s="20" t="s">
        <v>113</v>
      </c>
      <c r="C42" s="100" t="s">
        <v>69</v>
      </c>
      <c r="D42" s="56" t="s">
        <v>139</v>
      </c>
      <c r="E42" s="116">
        <f>F42/3869.7/12</f>
        <v>0.5799999569303392</v>
      </c>
      <c r="F42" s="116">
        <v>26933.11</v>
      </c>
    </row>
    <row r="43" spans="1:6" ht="42.75">
      <c r="A43" s="45" t="s">
        <v>52</v>
      </c>
      <c r="B43" s="38" t="s">
        <v>41</v>
      </c>
      <c r="C43" s="106" t="s">
        <v>68</v>
      </c>
      <c r="D43" s="56" t="s">
        <v>139</v>
      </c>
      <c r="E43" s="116">
        <v>0</v>
      </c>
      <c r="F43" s="116">
        <v>0</v>
      </c>
    </row>
    <row r="44" spans="1:6" ht="42.75">
      <c r="A44" s="66" t="s">
        <v>53</v>
      </c>
      <c r="B44" s="67" t="s">
        <v>43</v>
      </c>
      <c r="C44" s="132" t="s">
        <v>162</v>
      </c>
      <c r="D44" s="56" t="s">
        <v>139</v>
      </c>
      <c r="E44" s="116">
        <f aca="true" t="shared" si="1" ref="E44:E50">F44/3869.7/12</f>
        <v>1.2</v>
      </c>
      <c r="F44" s="116">
        <v>55723.68</v>
      </c>
    </row>
    <row r="45" spans="1:6" ht="42.75">
      <c r="A45" s="42" t="s">
        <v>55</v>
      </c>
      <c r="B45" s="19" t="s">
        <v>45</v>
      </c>
      <c r="C45" s="132" t="s">
        <v>162</v>
      </c>
      <c r="D45" s="56" t="s">
        <v>139</v>
      </c>
      <c r="E45" s="116">
        <f t="shared" si="1"/>
        <v>1.270000043069661</v>
      </c>
      <c r="F45" s="116">
        <v>58974.23</v>
      </c>
    </row>
    <row r="46" spans="1:6" ht="42.75">
      <c r="A46" s="42" t="s">
        <v>57</v>
      </c>
      <c r="B46" s="19" t="s">
        <v>47</v>
      </c>
      <c r="C46" s="132" t="s">
        <v>162</v>
      </c>
      <c r="D46" s="56" t="s">
        <v>139</v>
      </c>
      <c r="E46" s="116">
        <f t="shared" si="1"/>
        <v>0.9500000000000001</v>
      </c>
      <c r="F46" s="116">
        <v>44114.58</v>
      </c>
    </row>
    <row r="47" spans="1:6" ht="42.75">
      <c r="A47" s="42" t="s">
        <v>59</v>
      </c>
      <c r="B47" s="19" t="s">
        <v>49</v>
      </c>
      <c r="C47" s="132" t="s">
        <v>162</v>
      </c>
      <c r="D47" s="56" t="s">
        <v>139</v>
      </c>
      <c r="E47" s="116">
        <f t="shared" si="1"/>
        <v>1.9150000861393222</v>
      </c>
      <c r="F47" s="116">
        <v>88925.71</v>
      </c>
    </row>
    <row r="48" spans="1:6" ht="42.75">
      <c r="A48" s="42" t="s">
        <v>60</v>
      </c>
      <c r="B48" s="19" t="s">
        <v>51</v>
      </c>
      <c r="C48" s="132" t="s">
        <v>162</v>
      </c>
      <c r="D48" s="56" t="s">
        <v>139</v>
      </c>
      <c r="E48" s="116">
        <f t="shared" si="1"/>
        <v>1.479999956930339</v>
      </c>
      <c r="F48" s="116">
        <v>68725.87</v>
      </c>
    </row>
    <row r="49" spans="1:6" ht="57">
      <c r="A49" s="98" t="s">
        <v>61</v>
      </c>
      <c r="B49" s="20" t="s">
        <v>121</v>
      </c>
      <c r="C49" s="111" t="s">
        <v>68</v>
      </c>
      <c r="D49" s="56" t="s">
        <v>139</v>
      </c>
      <c r="E49" s="116">
        <f t="shared" si="1"/>
        <v>0</v>
      </c>
      <c r="F49" s="116">
        <v>0</v>
      </c>
    </row>
    <row r="50" spans="1:6" ht="114">
      <c r="A50" s="26" t="s">
        <v>62</v>
      </c>
      <c r="B50" s="39" t="s">
        <v>122</v>
      </c>
      <c r="C50" s="158" t="s">
        <v>123</v>
      </c>
      <c r="D50" s="56" t="s">
        <v>139</v>
      </c>
      <c r="E50" s="116">
        <f t="shared" si="1"/>
        <v>8.982730358081161</v>
      </c>
      <c r="F50" s="116">
        <v>417125.66</v>
      </c>
    </row>
    <row r="51" spans="1:6" ht="15" customHeight="1">
      <c r="A51" s="25"/>
      <c r="B51" s="170" t="s">
        <v>65</v>
      </c>
      <c r="C51" s="171"/>
      <c r="D51" s="171"/>
      <c r="E51" s="171"/>
      <c r="F51" s="153"/>
    </row>
    <row r="52" spans="1:6" ht="42.75">
      <c r="A52" s="26" t="s">
        <v>63</v>
      </c>
      <c r="B52" s="20" t="s">
        <v>54</v>
      </c>
      <c r="C52" s="85" t="s">
        <v>112</v>
      </c>
      <c r="D52" s="56" t="s">
        <v>139</v>
      </c>
      <c r="E52" s="116">
        <f aca="true" t="shared" si="2" ref="E52:E62">F52/3869.7/12</f>
        <v>1.7599999138606783</v>
      </c>
      <c r="F52" s="116">
        <v>81728.06</v>
      </c>
    </row>
    <row r="53" spans="1:6" ht="28.5">
      <c r="A53" s="42" t="s">
        <v>75</v>
      </c>
      <c r="B53" s="19" t="s">
        <v>56</v>
      </c>
      <c r="C53" s="112" t="s">
        <v>69</v>
      </c>
      <c r="D53" s="56" t="s">
        <v>139</v>
      </c>
      <c r="E53" s="116">
        <f t="shared" si="2"/>
        <v>0.009999913860678262</v>
      </c>
      <c r="F53" s="116">
        <v>464.36</v>
      </c>
    </row>
    <row r="54" spans="1:6" ht="42.75">
      <c r="A54" s="42" t="s">
        <v>85</v>
      </c>
      <c r="B54" s="19" t="s">
        <v>58</v>
      </c>
      <c r="C54" s="16" t="s">
        <v>112</v>
      </c>
      <c r="D54" s="56" t="s">
        <v>139</v>
      </c>
      <c r="E54" s="116">
        <f t="shared" si="2"/>
        <v>1.729999956930339</v>
      </c>
      <c r="F54" s="116">
        <v>80334.97</v>
      </c>
    </row>
    <row r="55" spans="1:6" ht="42.75">
      <c r="A55" s="42" t="s">
        <v>86</v>
      </c>
      <c r="B55" s="19" t="s">
        <v>124</v>
      </c>
      <c r="C55" s="124" t="s">
        <v>67</v>
      </c>
      <c r="D55" s="56" t="s">
        <v>139</v>
      </c>
      <c r="E55" s="116">
        <f t="shared" si="2"/>
        <v>0.14000008613932174</v>
      </c>
      <c r="F55" s="116">
        <v>6501.1</v>
      </c>
    </row>
    <row r="56" spans="1:6" ht="42.75">
      <c r="A56" s="45" t="s">
        <v>125</v>
      </c>
      <c r="B56" s="38" t="s">
        <v>126</v>
      </c>
      <c r="C56" s="113" t="s">
        <v>71</v>
      </c>
      <c r="D56" s="56" t="s">
        <v>139</v>
      </c>
      <c r="E56" s="116">
        <f t="shared" si="2"/>
        <v>0.8000000000000002</v>
      </c>
      <c r="F56" s="116">
        <v>37149.12</v>
      </c>
    </row>
    <row r="57" spans="1:6" ht="31.5">
      <c r="A57" s="26" t="s">
        <v>127</v>
      </c>
      <c r="B57" s="101" t="s">
        <v>30</v>
      </c>
      <c r="C57" s="111" t="s">
        <v>128</v>
      </c>
      <c r="D57" s="56" t="s">
        <v>139</v>
      </c>
      <c r="E57" s="116">
        <f t="shared" si="2"/>
        <v>3.495000043069661</v>
      </c>
      <c r="F57" s="116">
        <v>162295.22</v>
      </c>
    </row>
    <row r="58" spans="1:6" ht="28.5">
      <c r="A58" s="26" t="s">
        <v>129</v>
      </c>
      <c r="B58" s="160" t="s">
        <v>73</v>
      </c>
      <c r="C58" s="114" t="s">
        <v>16</v>
      </c>
      <c r="D58" s="56" t="s">
        <v>139</v>
      </c>
      <c r="E58" s="116">
        <f t="shared" si="2"/>
        <v>0.3</v>
      </c>
      <c r="F58" s="116">
        <v>13930.92</v>
      </c>
    </row>
    <row r="59" spans="1:6" ht="14.25">
      <c r="A59" s="87" t="s">
        <v>131</v>
      </c>
      <c r="B59" s="88" t="s">
        <v>130</v>
      </c>
      <c r="C59" s="114" t="s">
        <v>16</v>
      </c>
      <c r="D59" s="56" t="s">
        <v>139</v>
      </c>
      <c r="E59" s="116">
        <f t="shared" si="2"/>
        <v>0.07717437182899622</v>
      </c>
      <c r="F59" s="116">
        <f>2147.98+717.86+717.86</f>
        <v>3583.7000000000003</v>
      </c>
    </row>
    <row r="60" spans="1:6" ht="14.25">
      <c r="A60" s="87" t="s">
        <v>142</v>
      </c>
      <c r="B60" s="88" t="s">
        <v>132</v>
      </c>
      <c r="C60" s="114" t="s">
        <v>16</v>
      </c>
      <c r="D60" s="56" t="s">
        <v>139</v>
      </c>
      <c r="E60" s="116">
        <f t="shared" si="2"/>
        <v>0.013988379805497412</v>
      </c>
      <c r="F60" s="116">
        <f>401.07+124.25+124.25</f>
        <v>649.5699999999999</v>
      </c>
    </row>
    <row r="61" spans="1:6" ht="14.25">
      <c r="A61" s="87" t="s">
        <v>143</v>
      </c>
      <c r="B61" s="88" t="s">
        <v>141</v>
      </c>
      <c r="C61" s="114" t="s">
        <v>16</v>
      </c>
      <c r="D61" s="56" t="s">
        <v>139</v>
      </c>
      <c r="E61" s="116">
        <f t="shared" si="2"/>
        <v>0.011000852779285216</v>
      </c>
      <c r="F61" s="116">
        <v>510.84</v>
      </c>
    </row>
    <row r="62" spans="1:6" ht="12.75" customHeight="1">
      <c r="A62" s="87" t="s">
        <v>144</v>
      </c>
      <c r="B62" s="88" t="s">
        <v>133</v>
      </c>
      <c r="C62" s="114" t="s">
        <v>16</v>
      </c>
      <c r="D62" s="56" t="s">
        <v>139</v>
      </c>
      <c r="E62" s="116">
        <f t="shared" si="2"/>
        <v>0.8007261544822598</v>
      </c>
      <c r="F62" s="116">
        <f>24646.08+6268.89+6268.89-1.02</f>
        <v>37182.840000000004</v>
      </c>
    </row>
    <row r="63" spans="1:6" ht="0.75" customHeight="1" hidden="1">
      <c r="A63" s="26"/>
      <c r="B63" s="101" t="s">
        <v>145</v>
      </c>
      <c r="C63" s="17"/>
      <c r="D63" s="86"/>
      <c r="E63" s="133"/>
      <c r="F63" s="133">
        <f>F58+F57+F56+F55+F54+F53+F52+F50+F49+F48+F47+F46+F45+F44+F43+F42+F41+F39+F38+F37+F36+F35+F34+F33+F32+F31+F30+F29+F28+F27+F26+F23+F22+F21+F20</f>
        <v>1762527.68</v>
      </c>
    </row>
    <row r="64" spans="1:6" ht="15.75" hidden="1">
      <c r="A64" s="77"/>
      <c r="B64" s="84"/>
      <c r="C64" s="81"/>
      <c r="D64" s="120"/>
      <c r="E64" s="117"/>
      <c r="F64" s="96"/>
    </row>
    <row r="65" spans="1:6" ht="31.5">
      <c r="A65" s="99"/>
      <c r="B65" s="104" t="s">
        <v>134</v>
      </c>
      <c r="C65" s="105"/>
      <c r="D65" s="56"/>
      <c r="E65" s="102"/>
      <c r="F65" s="102">
        <f>F63+F62+F61+F60+F59</f>
        <v>1804454.6300000001</v>
      </c>
    </row>
  </sheetData>
  <sheetProtection/>
  <mergeCells count="3">
    <mergeCell ref="B40:E40"/>
    <mergeCell ref="B24:E24"/>
    <mergeCell ref="B51:E5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G65"/>
  <sheetViews>
    <sheetView zoomScalePageLayoutView="0" workbookViewId="0" topLeftCell="A1">
      <selection activeCell="A33" sqref="A33:C33"/>
    </sheetView>
  </sheetViews>
  <sheetFormatPr defaultColWidth="9.140625" defaultRowHeight="12"/>
  <cols>
    <col min="2" max="2" width="40.8515625" style="0" customWidth="1"/>
    <col min="3" max="3" width="14.421875" style="0" customWidth="1"/>
    <col min="6" max="6" width="17.7109375" style="0" customWidth="1"/>
    <col min="7" max="7" width="12.57421875" style="0" customWidth="1"/>
  </cols>
  <sheetData>
    <row r="5" ht="15">
      <c r="B5" s="1" t="s">
        <v>146</v>
      </c>
    </row>
    <row r="6" ht="15">
      <c r="B6" s="1"/>
    </row>
    <row r="7" ht="18.75">
      <c r="B7" s="14" t="s">
        <v>156</v>
      </c>
    </row>
    <row r="10" ht="2.25" customHeight="1"/>
    <row r="11" ht="12" hidden="1"/>
    <row r="12" ht="12" hidden="1"/>
    <row r="13" ht="12" hidden="1"/>
    <row r="14" ht="12" hidden="1"/>
    <row r="15" ht="12" hidden="1"/>
    <row r="16" ht="12" hidden="1"/>
    <row r="17" ht="12" hidden="1"/>
    <row r="18" ht="12" hidden="1"/>
    <row r="19" spans="1:6" ht="99.75">
      <c r="A19" s="121" t="s">
        <v>0</v>
      </c>
      <c r="B19" s="85" t="s">
        <v>88</v>
      </c>
      <c r="C19" s="56" t="s">
        <v>89</v>
      </c>
      <c r="D19" s="56" t="s">
        <v>138</v>
      </c>
      <c r="E19" s="56" t="s">
        <v>90</v>
      </c>
      <c r="F19" s="56" t="s">
        <v>157</v>
      </c>
    </row>
    <row r="20" spans="1:6" ht="14.25">
      <c r="A20" s="121" t="s">
        <v>93</v>
      </c>
      <c r="B20" s="85" t="s">
        <v>94</v>
      </c>
      <c r="C20" s="56" t="s">
        <v>95</v>
      </c>
      <c r="D20" s="56" t="s">
        <v>139</v>
      </c>
      <c r="E20" s="116">
        <f>F20/12214/8</f>
        <v>0.44499999999999995</v>
      </c>
      <c r="F20" s="116">
        <v>43481.84</v>
      </c>
    </row>
    <row r="21" spans="1:6" ht="72.75">
      <c r="A21" s="121" t="s">
        <v>96</v>
      </c>
      <c r="B21" s="122" t="s">
        <v>97</v>
      </c>
      <c r="C21" s="56" t="s">
        <v>95</v>
      </c>
      <c r="D21" s="56" t="s">
        <v>139</v>
      </c>
      <c r="E21" s="116">
        <f>F21/12214/8</f>
        <v>0.17</v>
      </c>
      <c r="F21" s="116">
        <v>16611.04</v>
      </c>
    </row>
    <row r="22" spans="1:6" ht="14.25">
      <c r="A22" s="121" t="s">
        <v>98</v>
      </c>
      <c r="B22" s="122" t="s">
        <v>99</v>
      </c>
      <c r="C22" s="56" t="s">
        <v>95</v>
      </c>
      <c r="D22" s="56" t="s">
        <v>139</v>
      </c>
      <c r="E22" s="116">
        <f>F22/12214/8</f>
        <v>1.495</v>
      </c>
      <c r="F22" s="116">
        <v>146079.44</v>
      </c>
    </row>
    <row r="23" spans="1:6" ht="42.75">
      <c r="A23" s="121" t="s">
        <v>100</v>
      </c>
      <c r="B23" s="122" t="s">
        <v>101</v>
      </c>
      <c r="C23" s="56" t="s">
        <v>95</v>
      </c>
      <c r="D23" s="56" t="s">
        <v>139</v>
      </c>
      <c r="E23" s="116">
        <f>F23/12214/8</f>
        <v>1.245</v>
      </c>
      <c r="F23" s="116">
        <v>121651.44</v>
      </c>
    </row>
    <row r="24" spans="1:6" ht="15">
      <c r="A24" s="30"/>
      <c r="B24" s="168" t="s">
        <v>6</v>
      </c>
      <c r="C24" s="169"/>
      <c r="D24" s="169"/>
      <c r="E24" s="169"/>
      <c r="F24" s="151"/>
    </row>
    <row r="25" spans="1:6" ht="14.25">
      <c r="A25" s="37"/>
      <c r="B25" s="75"/>
      <c r="C25" s="76"/>
      <c r="D25" s="76"/>
      <c r="E25" s="74"/>
      <c r="F25" s="74"/>
    </row>
    <row r="26" spans="1:6" ht="31.5">
      <c r="A26" s="31" t="s">
        <v>102</v>
      </c>
      <c r="B26" s="55" t="s">
        <v>19</v>
      </c>
      <c r="C26" s="123" t="s">
        <v>67</v>
      </c>
      <c r="D26" s="56" t="s">
        <v>139</v>
      </c>
      <c r="E26" s="116">
        <f aca="true" t="shared" si="0" ref="E26:E32">F26/12214/8</f>
        <v>0.5499999999999999</v>
      </c>
      <c r="F26" s="116">
        <v>53741.6</v>
      </c>
    </row>
    <row r="27" spans="1:6" ht="14.25">
      <c r="A27" s="33" t="s">
        <v>103</v>
      </c>
      <c r="B27" s="12" t="s">
        <v>20</v>
      </c>
      <c r="C27" s="123" t="s">
        <v>67</v>
      </c>
      <c r="D27" s="56" t="s">
        <v>139</v>
      </c>
      <c r="E27" s="116">
        <f t="shared" si="0"/>
        <v>0.18999999999999997</v>
      </c>
      <c r="F27" s="116">
        <v>18565.28</v>
      </c>
    </row>
    <row r="28" spans="1:6" ht="28.5">
      <c r="A28" s="66" t="s">
        <v>104</v>
      </c>
      <c r="B28" s="67" t="s">
        <v>21</v>
      </c>
      <c r="C28" s="108" t="s">
        <v>67</v>
      </c>
      <c r="D28" s="56" t="s">
        <v>139</v>
      </c>
      <c r="E28" s="116">
        <f t="shared" si="0"/>
        <v>0.16</v>
      </c>
      <c r="F28" s="116">
        <v>15633.92</v>
      </c>
    </row>
    <row r="29" spans="1:6" ht="42.75">
      <c r="A29" s="42" t="s">
        <v>105</v>
      </c>
      <c r="B29" s="19" t="s">
        <v>22</v>
      </c>
      <c r="C29" s="107" t="s">
        <v>67</v>
      </c>
      <c r="D29" s="56" t="s">
        <v>139</v>
      </c>
      <c r="E29" s="116">
        <f t="shared" si="0"/>
        <v>0.08</v>
      </c>
      <c r="F29" s="116">
        <v>7816.96</v>
      </c>
    </row>
    <row r="30" spans="1:6" ht="42.75">
      <c r="A30" s="51" t="s">
        <v>32</v>
      </c>
      <c r="B30" s="52" t="s">
        <v>31</v>
      </c>
      <c r="C30" s="109" t="s">
        <v>67</v>
      </c>
      <c r="D30" s="56" t="s">
        <v>139</v>
      </c>
      <c r="E30" s="116">
        <f t="shared" si="0"/>
        <v>0.030000000000000002</v>
      </c>
      <c r="F30" s="116">
        <v>2931.36</v>
      </c>
    </row>
    <row r="31" spans="1:6" ht="42.75">
      <c r="A31" s="26" t="s">
        <v>33</v>
      </c>
      <c r="B31" s="20" t="s">
        <v>23</v>
      </c>
      <c r="C31" s="107" t="s">
        <v>67</v>
      </c>
      <c r="D31" s="56" t="s">
        <v>139</v>
      </c>
      <c r="E31" s="116">
        <f t="shared" si="0"/>
        <v>0.030000000000000002</v>
      </c>
      <c r="F31" s="116">
        <v>2931.36</v>
      </c>
    </row>
    <row r="32" spans="1:6" ht="28.5">
      <c r="A32" s="45" t="s">
        <v>34</v>
      </c>
      <c r="B32" s="38" t="s">
        <v>24</v>
      </c>
      <c r="C32" s="4" t="s">
        <v>112</v>
      </c>
      <c r="D32" s="56" t="s">
        <v>139</v>
      </c>
      <c r="E32" s="116">
        <f t="shared" si="0"/>
        <v>2.38</v>
      </c>
      <c r="F32" s="116">
        <v>232554.56</v>
      </c>
    </row>
    <row r="33" spans="1:7" ht="28.5">
      <c r="A33" s="66" t="s">
        <v>35</v>
      </c>
      <c r="B33" s="67" t="s">
        <v>25</v>
      </c>
      <c r="C33" s="130" t="s">
        <v>112</v>
      </c>
      <c r="D33" s="56" t="s">
        <v>139</v>
      </c>
      <c r="E33" s="116">
        <f>G33/12214/8</f>
        <v>0</v>
      </c>
      <c r="F33" s="116">
        <v>114323.04</v>
      </c>
      <c r="G33" s="163"/>
    </row>
    <row r="34" spans="1:6" ht="28.5">
      <c r="A34" s="42" t="s">
        <v>37</v>
      </c>
      <c r="B34" s="19" t="s">
        <v>26</v>
      </c>
      <c r="C34" s="109" t="s">
        <v>67</v>
      </c>
      <c r="D34" s="56" t="s">
        <v>139</v>
      </c>
      <c r="E34" s="116">
        <f aca="true" t="shared" si="1" ref="E34:E39">F34/12214/8</f>
        <v>0.73</v>
      </c>
      <c r="F34" s="116">
        <v>71329.76</v>
      </c>
    </row>
    <row r="35" spans="1:6" ht="28.5">
      <c r="A35" s="42" t="s">
        <v>39</v>
      </c>
      <c r="B35" s="19" t="s">
        <v>27</v>
      </c>
      <c r="C35" s="109" t="s">
        <v>67</v>
      </c>
      <c r="D35" s="56" t="s">
        <v>139</v>
      </c>
      <c r="E35" s="116">
        <f t="shared" si="1"/>
        <v>0.04</v>
      </c>
      <c r="F35" s="116">
        <v>3908.48</v>
      </c>
    </row>
    <row r="36" spans="1:6" ht="42.75">
      <c r="A36" s="66" t="s">
        <v>40</v>
      </c>
      <c r="B36" s="67" t="s">
        <v>28</v>
      </c>
      <c r="C36" s="108" t="s">
        <v>67</v>
      </c>
      <c r="D36" s="56" t="s">
        <v>139</v>
      </c>
      <c r="E36" s="116">
        <f t="shared" si="1"/>
        <v>0.43000000000000005</v>
      </c>
      <c r="F36" s="116">
        <v>42016.16</v>
      </c>
    </row>
    <row r="37" spans="1:6" ht="57">
      <c r="A37" s="66" t="s">
        <v>42</v>
      </c>
      <c r="B37" s="67" t="s">
        <v>36</v>
      </c>
      <c r="C37" s="132" t="s">
        <v>67</v>
      </c>
      <c r="D37" s="56" t="s">
        <v>139</v>
      </c>
      <c r="E37" s="116">
        <f t="shared" si="1"/>
        <v>0.04</v>
      </c>
      <c r="F37" s="116">
        <v>3908.48</v>
      </c>
    </row>
    <row r="38" spans="1:6" ht="71.25">
      <c r="A38" s="42" t="s">
        <v>44</v>
      </c>
      <c r="B38" s="19" t="s">
        <v>38</v>
      </c>
      <c r="C38" s="110" t="s">
        <v>67</v>
      </c>
      <c r="D38" s="56" t="s">
        <v>139</v>
      </c>
      <c r="E38" s="116">
        <f t="shared" si="1"/>
        <v>0.17</v>
      </c>
      <c r="F38" s="116">
        <v>16611.04</v>
      </c>
    </row>
    <row r="39" spans="1:6" ht="28.5">
      <c r="A39" s="42" t="s">
        <v>46</v>
      </c>
      <c r="B39" s="126" t="s">
        <v>140</v>
      </c>
      <c r="C39" s="127" t="s">
        <v>112</v>
      </c>
      <c r="D39" s="115" t="s">
        <v>139</v>
      </c>
      <c r="E39" s="116">
        <f t="shared" si="1"/>
        <v>0</v>
      </c>
      <c r="F39" s="152">
        <v>0</v>
      </c>
    </row>
    <row r="40" spans="1:6" ht="15" customHeight="1">
      <c r="A40" s="125"/>
      <c r="B40" s="170" t="s">
        <v>64</v>
      </c>
      <c r="C40" s="171"/>
      <c r="D40" s="171"/>
      <c r="E40" s="171"/>
      <c r="F40" s="153"/>
    </row>
    <row r="41" spans="1:6" ht="57">
      <c r="A41" s="26" t="s">
        <v>48</v>
      </c>
      <c r="B41" s="52" t="s">
        <v>74</v>
      </c>
      <c r="C41" s="128" t="s">
        <v>112</v>
      </c>
      <c r="D41" s="129" t="s">
        <v>139</v>
      </c>
      <c r="E41" s="116">
        <f>F41/12214/8</f>
        <v>2.115</v>
      </c>
      <c r="F41" s="116">
        <v>206660.88</v>
      </c>
    </row>
    <row r="42" spans="1:6" ht="42.75">
      <c r="A42" s="26" t="s">
        <v>50</v>
      </c>
      <c r="B42" s="20" t="s">
        <v>113</v>
      </c>
      <c r="C42" s="100" t="s">
        <v>69</v>
      </c>
      <c r="D42" s="56" t="s">
        <v>139</v>
      </c>
      <c r="E42" s="116">
        <f>F42/12214/8</f>
        <v>0.54</v>
      </c>
      <c r="F42" s="116">
        <v>52764.48</v>
      </c>
    </row>
    <row r="43" spans="1:6" ht="42.75">
      <c r="A43" s="45" t="s">
        <v>52</v>
      </c>
      <c r="B43" s="38" t="s">
        <v>41</v>
      </c>
      <c r="C43" s="4" t="s">
        <v>68</v>
      </c>
      <c r="D43" s="56" t="s">
        <v>139</v>
      </c>
      <c r="E43" s="116">
        <v>0</v>
      </c>
      <c r="F43" s="116">
        <v>0</v>
      </c>
    </row>
    <row r="44" spans="1:6" ht="42.75">
      <c r="A44" s="66" t="s">
        <v>53</v>
      </c>
      <c r="B44" s="67" t="s">
        <v>43</v>
      </c>
      <c r="C44" s="132" t="s">
        <v>162</v>
      </c>
      <c r="D44" s="56" t="s">
        <v>139</v>
      </c>
      <c r="E44" s="116">
        <f aca="true" t="shared" si="2" ref="E44:E50">F44/12214/8</f>
        <v>1.12</v>
      </c>
      <c r="F44" s="116">
        <v>109437.44</v>
      </c>
    </row>
    <row r="45" spans="1:6" ht="42.75">
      <c r="A45" s="42" t="s">
        <v>55</v>
      </c>
      <c r="B45" s="19" t="s">
        <v>45</v>
      </c>
      <c r="C45" s="132" t="s">
        <v>162</v>
      </c>
      <c r="D45" s="56" t="s">
        <v>139</v>
      </c>
      <c r="E45" s="116">
        <f t="shared" si="2"/>
        <v>1.18</v>
      </c>
      <c r="F45" s="116">
        <v>115300.16</v>
      </c>
    </row>
    <row r="46" spans="1:6" ht="42.75">
      <c r="A46" s="42" t="s">
        <v>57</v>
      </c>
      <c r="B46" s="19" t="s">
        <v>47</v>
      </c>
      <c r="C46" s="132" t="s">
        <v>162</v>
      </c>
      <c r="D46" s="56" t="s">
        <v>139</v>
      </c>
      <c r="E46" s="116">
        <f t="shared" si="2"/>
        <v>0.88</v>
      </c>
      <c r="F46" s="116">
        <v>85986.56</v>
      </c>
    </row>
    <row r="47" spans="1:6" ht="42.75">
      <c r="A47" s="42" t="s">
        <v>59</v>
      </c>
      <c r="B47" s="19" t="s">
        <v>49</v>
      </c>
      <c r="C47" s="132" t="s">
        <v>162</v>
      </c>
      <c r="D47" s="56" t="s">
        <v>139</v>
      </c>
      <c r="E47" s="116">
        <f t="shared" si="2"/>
        <v>1.755</v>
      </c>
      <c r="F47" s="116">
        <v>171484.56</v>
      </c>
    </row>
    <row r="48" spans="1:6" ht="42.75">
      <c r="A48" s="42" t="s">
        <v>60</v>
      </c>
      <c r="B48" s="19" t="s">
        <v>51</v>
      </c>
      <c r="C48" s="132" t="s">
        <v>162</v>
      </c>
      <c r="D48" s="56" t="s">
        <v>139</v>
      </c>
      <c r="E48" s="116">
        <f t="shared" si="2"/>
        <v>1.38</v>
      </c>
      <c r="F48" s="116">
        <v>134842.56</v>
      </c>
    </row>
    <row r="49" spans="1:6" ht="57">
      <c r="A49" s="98" t="s">
        <v>61</v>
      </c>
      <c r="B49" s="20" t="s">
        <v>121</v>
      </c>
      <c r="C49" s="111" t="s">
        <v>68</v>
      </c>
      <c r="D49" s="56" t="s">
        <v>139</v>
      </c>
      <c r="E49" s="116">
        <f t="shared" si="2"/>
        <v>0.28</v>
      </c>
      <c r="F49" s="116">
        <v>27359.36</v>
      </c>
    </row>
    <row r="50" spans="1:6" ht="114">
      <c r="A50" s="26" t="s">
        <v>62</v>
      </c>
      <c r="B50" s="39" t="s">
        <v>122</v>
      </c>
      <c r="C50" s="158" t="s">
        <v>123</v>
      </c>
      <c r="D50" s="56" t="s">
        <v>139</v>
      </c>
      <c r="E50" s="116">
        <f t="shared" si="2"/>
        <v>8.548289360569838</v>
      </c>
      <c r="F50" s="116">
        <v>835270.45</v>
      </c>
    </row>
    <row r="51" spans="1:6" ht="15" customHeight="1">
      <c r="A51" s="25"/>
      <c r="B51" s="170" t="s">
        <v>65</v>
      </c>
      <c r="C51" s="171"/>
      <c r="D51" s="171"/>
      <c r="E51" s="171"/>
      <c r="F51" s="153"/>
    </row>
    <row r="52" spans="1:6" ht="42.75">
      <c r="A52" s="26" t="s">
        <v>63</v>
      </c>
      <c r="B52" s="20" t="s">
        <v>54</v>
      </c>
      <c r="C52" s="85" t="s">
        <v>112</v>
      </c>
      <c r="D52" s="56" t="s">
        <v>139</v>
      </c>
      <c r="E52" s="116">
        <f aca="true" t="shared" si="3" ref="E52:E62">F52/12214/8</f>
        <v>1.51</v>
      </c>
      <c r="F52" s="116">
        <v>147545.12</v>
      </c>
    </row>
    <row r="53" spans="1:6" ht="42.75">
      <c r="A53" s="42" t="s">
        <v>75</v>
      </c>
      <c r="B53" s="19" t="s">
        <v>56</v>
      </c>
      <c r="C53" s="112" t="s">
        <v>69</v>
      </c>
      <c r="D53" s="56" t="s">
        <v>139</v>
      </c>
      <c r="E53" s="116">
        <f t="shared" si="3"/>
        <v>0.01</v>
      </c>
      <c r="F53" s="116">
        <v>977.12</v>
      </c>
    </row>
    <row r="54" spans="1:6" ht="42.75">
      <c r="A54" s="42" t="s">
        <v>85</v>
      </c>
      <c r="B54" s="19" t="s">
        <v>58</v>
      </c>
      <c r="C54" s="16" t="s">
        <v>112</v>
      </c>
      <c r="D54" s="56" t="s">
        <v>139</v>
      </c>
      <c r="E54" s="116">
        <f t="shared" si="3"/>
        <v>1.5799999999999998</v>
      </c>
      <c r="F54" s="116">
        <v>154384.96</v>
      </c>
    </row>
    <row r="55" spans="1:6" ht="42.75">
      <c r="A55" s="42" t="s">
        <v>86</v>
      </c>
      <c r="B55" s="19" t="s">
        <v>124</v>
      </c>
      <c r="C55" s="124" t="s">
        <v>67</v>
      </c>
      <c r="D55" s="56" t="s">
        <v>139</v>
      </c>
      <c r="E55" s="116">
        <f t="shared" si="3"/>
        <v>0.13</v>
      </c>
      <c r="F55" s="116">
        <v>12702.56</v>
      </c>
    </row>
    <row r="56" spans="1:6" ht="42.75">
      <c r="A56" s="45" t="s">
        <v>125</v>
      </c>
      <c r="B56" s="38" t="s">
        <v>126</v>
      </c>
      <c r="C56" s="113" t="s">
        <v>71</v>
      </c>
      <c r="D56" s="56" t="s">
        <v>139</v>
      </c>
      <c r="E56" s="116">
        <f t="shared" si="3"/>
        <v>0.7400000000000001</v>
      </c>
      <c r="F56" s="116">
        <v>72306.88</v>
      </c>
    </row>
    <row r="57" spans="1:6" ht="31.5">
      <c r="A57" s="26" t="s">
        <v>127</v>
      </c>
      <c r="B57" s="101" t="s">
        <v>30</v>
      </c>
      <c r="C57" s="111" t="s">
        <v>128</v>
      </c>
      <c r="D57" s="56" t="s">
        <v>139</v>
      </c>
      <c r="E57" s="116">
        <f t="shared" si="3"/>
        <v>3.365</v>
      </c>
      <c r="F57" s="116">
        <v>328800.88</v>
      </c>
    </row>
    <row r="58" spans="1:6" ht="28.5">
      <c r="A58" s="26" t="s">
        <v>129</v>
      </c>
      <c r="B58" s="160" t="s">
        <v>73</v>
      </c>
      <c r="C58" s="161" t="s">
        <v>16</v>
      </c>
      <c r="D58" s="56" t="s">
        <v>139</v>
      </c>
      <c r="E58" s="116">
        <f t="shared" si="3"/>
        <v>0.28</v>
      </c>
      <c r="F58" s="116">
        <v>27359.36</v>
      </c>
    </row>
    <row r="59" spans="1:6" ht="14.25">
      <c r="A59" s="87" t="s">
        <v>131</v>
      </c>
      <c r="B59" s="88" t="s">
        <v>130</v>
      </c>
      <c r="C59" s="114" t="s">
        <v>16</v>
      </c>
      <c r="D59" s="56" t="s">
        <v>139</v>
      </c>
      <c r="E59" s="116">
        <f t="shared" si="3"/>
        <v>0.102025851481906</v>
      </c>
      <c r="F59" s="116">
        <f>6751.05+1609.05+1609.05</f>
        <v>9969.15</v>
      </c>
    </row>
    <row r="60" spans="1:6" ht="14.25">
      <c r="A60" s="87" t="s">
        <v>142</v>
      </c>
      <c r="B60" s="88" t="s">
        <v>132</v>
      </c>
      <c r="C60" s="114" t="s">
        <v>16</v>
      </c>
      <c r="D60" s="56" t="s">
        <v>139</v>
      </c>
      <c r="E60" s="116">
        <f t="shared" si="3"/>
        <v>0.0188478385459309</v>
      </c>
      <c r="F60" s="116">
        <f>1284.7+278.48+278.48</f>
        <v>1841.66</v>
      </c>
    </row>
    <row r="61" spans="1:6" ht="14.25">
      <c r="A61" s="87" t="s">
        <v>143</v>
      </c>
      <c r="B61" s="88" t="s">
        <v>141</v>
      </c>
      <c r="C61" s="114" t="s">
        <v>16</v>
      </c>
      <c r="D61" s="56" t="s">
        <v>139</v>
      </c>
      <c r="E61" s="116">
        <f t="shared" si="3"/>
        <v>0.02625133044047814</v>
      </c>
      <c r="F61" s="116">
        <v>2565.07</v>
      </c>
    </row>
    <row r="62" spans="1:6" ht="13.5" customHeight="1">
      <c r="A62" s="87" t="s">
        <v>144</v>
      </c>
      <c r="B62" s="88" t="s">
        <v>133</v>
      </c>
      <c r="C62" s="114" t="s">
        <v>16</v>
      </c>
      <c r="D62" s="56" t="s">
        <v>139</v>
      </c>
      <c r="E62" s="116">
        <f t="shared" si="3"/>
        <v>1.5266990748321598</v>
      </c>
      <c r="F62" s="116">
        <f>100692.21+19786.71+19786.71+8911.19</f>
        <v>149176.82</v>
      </c>
    </row>
    <row r="63" spans="1:6" ht="31.5" hidden="1">
      <c r="A63" s="26"/>
      <c r="B63" s="101" t="s">
        <v>145</v>
      </c>
      <c r="C63" s="17"/>
      <c r="D63" s="86"/>
      <c r="E63" s="133"/>
      <c r="F63" s="133" t="e">
        <f>F58+F57+F56+F55+F54+F53+F52+F50+F49+F48+F47+F46+F45+F44+F43+F42+F41+F39+F38+F37+F36+F35+F34+#REF!+F32+F31+F30+F29+F28+F27+F26+F23+F22+F21+F20</f>
        <v>#REF!</v>
      </c>
    </row>
    <row r="64" spans="1:6" ht="15.75" hidden="1">
      <c r="A64" s="77"/>
      <c r="B64" s="84"/>
      <c r="C64" s="81"/>
      <c r="D64" s="120"/>
      <c r="E64" s="117"/>
      <c r="F64" s="96"/>
    </row>
    <row r="65" spans="1:6" ht="31.5">
      <c r="A65" s="99"/>
      <c r="B65" s="104" t="s">
        <v>134</v>
      </c>
      <c r="C65" s="105"/>
      <c r="D65" s="56"/>
      <c r="E65" s="102"/>
      <c r="F65" s="102">
        <f>SUM(F20:F62)</f>
        <v>3560831.7899999996</v>
      </c>
    </row>
  </sheetData>
  <sheetProtection/>
  <mergeCells count="3">
    <mergeCell ref="B40:E40"/>
    <mergeCell ref="B24:E24"/>
    <mergeCell ref="B51:E5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65"/>
  <sheetViews>
    <sheetView zoomScalePageLayoutView="0" workbookViewId="0" topLeftCell="A1">
      <selection activeCell="C41" sqref="C41"/>
    </sheetView>
  </sheetViews>
  <sheetFormatPr defaultColWidth="9.140625" defaultRowHeight="12"/>
  <cols>
    <col min="2" max="2" width="45.00390625" style="0" customWidth="1"/>
    <col min="3" max="3" width="15.00390625" style="0" customWidth="1"/>
    <col min="4" max="4" width="12.00390625" style="0" customWidth="1"/>
    <col min="5" max="5" width="12.421875" style="0" customWidth="1"/>
    <col min="6" max="6" width="12.7109375" style="0" customWidth="1"/>
  </cols>
  <sheetData>
    <row r="4" ht="15">
      <c r="B4" s="1" t="s">
        <v>146</v>
      </c>
    </row>
    <row r="5" ht="15">
      <c r="B5" s="1"/>
    </row>
    <row r="6" ht="18.75">
      <c r="B6" s="14" t="s">
        <v>158</v>
      </c>
    </row>
    <row r="9" ht="0.75" customHeight="1"/>
    <row r="10" ht="12" hidden="1"/>
    <row r="11" ht="12" hidden="1"/>
    <row r="12" ht="12" hidden="1"/>
    <row r="13" ht="12" hidden="1"/>
    <row r="14" ht="12" hidden="1"/>
    <row r="15" ht="12" hidden="1"/>
    <row r="16" ht="12" hidden="1"/>
    <row r="17" ht="12" hidden="1"/>
    <row r="18" ht="12" hidden="1"/>
    <row r="19" spans="1:6" ht="114" customHeight="1">
      <c r="A19" s="121" t="s">
        <v>0</v>
      </c>
      <c r="B19" s="85" t="s">
        <v>88</v>
      </c>
      <c r="C19" s="56" t="s">
        <v>89</v>
      </c>
      <c r="D19" s="56" t="s">
        <v>138</v>
      </c>
      <c r="E19" s="56" t="s">
        <v>90</v>
      </c>
      <c r="F19" s="56" t="s">
        <v>157</v>
      </c>
    </row>
    <row r="20" spans="1:6" ht="14.25">
      <c r="A20" s="121" t="s">
        <v>93</v>
      </c>
      <c r="B20" s="85" t="s">
        <v>94</v>
      </c>
      <c r="C20" s="56" t="s">
        <v>95</v>
      </c>
      <c r="D20" s="56" t="s">
        <v>139</v>
      </c>
      <c r="E20" s="116">
        <f>F20/12387.2/8</f>
        <v>0.4449999798178765</v>
      </c>
      <c r="F20" s="116">
        <v>44098.43</v>
      </c>
    </row>
    <row r="21" spans="1:6" ht="57.75">
      <c r="A21" s="121" t="s">
        <v>96</v>
      </c>
      <c r="B21" s="122" t="s">
        <v>97</v>
      </c>
      <c r="C21" s="56" t="s">
        <v>95</v>
      </c>
      <c r="D21" s="56" t="s">
        <v>139</v>
      </c>
      <c r="E21" s="116">
        <f>F21/12387.2/8</f>
        <v>0.1699999798178765</v>
      </c>
      <c r="F21" s="116">
        <v>16846.59</v>
      </c>
    </row>
    <row r="22" spans="1:6" ht="14.25">
      <c r="A22" s="121" t="s">
        <v>98</v>
      </c>
      <c r="B22" s="122" t="s">
        <v>99</v>
      </c>
      <c r="C22" s="56" t="s">
        <v>95</v>
      </c>
      <c r="D22" s="56" t="s">
        <v>139</v>
      </c>
      <c r="E22" s="116">
        <f>F22/12387.2/8</f>
        <v>1.4949999798178764</v>
      </c>
      <c r="F22" s="116">
        <v>148150.91</v>
      </c>
    </row>
    <row r="23" spans="1:6" ht="42.75">
      <c r="A23" s="121" t="s">
        <v>100</v>
      </c>
      <c r="B23" s="122" t="s">
        <v>101</v>
      </c>
      <c r="C23" s="56" t="s">
        <v>95</v>
      </c>
      <c r="D23" s="56" t="s">
        <v>139</v>
      </c>
      <c r="E23" s="116">
        <f>F23/12387.2/8</f>
        <v>1.2449999798178764</v>
      </c>
      <c r="F23" s="116">
        <v>123376.51</v>
      </c>
    </row>
    <row r="24" spans="1:6" ht="15">
      <c r="A24" s="30"/>
      <c r="B24" s="168" t="s">
        <v>6</v>
      </c>
      <c r="C24" s="169"/>
      <c r="D24" s="169"/>
      <c r="E24" s="169"/>
      <c r="F24" s="151"/>
    </row>
    <row r="25" spans="1:6" ht="14.25">
      <c r="A25" s="37"/>
      <c r="B25" s="75"/>
      <c r="C25" s="76"/>
      <c r="D25" s="76"/>
      <c r="E25" s="74"/>
      <c r="F25" s="74"/>
    </row>
    <row r="26" spans="1:6" ht="31.5">
      <c r="A26" s="31" t="s">
        <v>102</v>
      </c>
      <c r="B26" s="55" t="s">
        <v>19</v>
      </c>
      <c r="C26" s="123" t="s">
        <v>67</v>
      </c>
      <c r="D26" s="56" t="s">
        <v>139</v>
      </c>
      <c r="E26" s="116">
        <f aca="true" t="shared" si="0" ref="E26:E39">F26/12387.2/8</f>
        <v>0.5499999999999999</v>
      </c>
      <c r="F26" s="116">
        <v>54503.68</v>
      </c>
    </row>
    <row r="27" spans="1:6" ht="14.25">
      <c r="A27" s="33" t="s">
        <v>103</v>
      </c>
      <c r="B27" s="12" t="s">
        <v>20</v>
      </c>
      <c r="C27" s="123" t="s">
        <v>67</v>
      </c>
      <c r="D27" s="56" t="s">
        <v>139</v>
      </c>
      <c r="E27" s="116">
        <f t="shared" si="0"/>
        <v>0.18999995963575303</v>
      </c>
      <c r="F27" s="116">
        <v>18828.54</v>
      </c>
    </row>
    <row r="28" spans="1:6" ht="28.5">
      <c r="A28" s="66" t="s">
        <v>104</v>
      </c>
      <c r="B28" s="67" t="s">
        <v>21</v>
      </c>
      <c r="C28" s="108" t="s">
        <v>67</v>
      </c>
      <c r="D28" s="56" t="s">
        <v>139</v>
      </c>
      <c r="E28" s="116">
        <f t="shared" si="0"/>
        <v>0.16000004036424698</v>
      </c>
      <c r="F28" s="116">
        <v>15855.62</v>
      </c>
    </row>
    <row r="29" spans="1:6" ht="42.75">
      <c r="A29" s="42" t="s">
        <v>105</v>
      </c>
      <c r="B29" s="19" t="s">
        <v>22</v>
      </c>
      <c r="C29" s="107" t="s">
        <v>67</v>
      </c>
      <c r="D29" s="56" t="s">
        <v>139</v>
      </c>
      <c r="E29" s="116">
        <f t="shared" si="0"/>
        <v>0.08000002018212349</v>
      </c>
      <c r="F29" s="116">
        <v>7927.81</v>
      </c>
    </row>
    <row r="30" spans="1:6" ht="42.75">
      <c r="A30" s="51" t="s">
        <v>32</v>
      </c>
      <c r="B30" s="52" t="s">
        <v>31</v>
      </c>
      <c r="C30" s="109" t="s">
        <v>67</v>
      </c>
      <c r="D30" s="56" t="s">
        <v>139</v>
      </c>
      <c r="E30" s="116">
        <f t="shared" si="0"/>
        <v>0.030000020182123478</v>
      </c>
      <c r="F30" s="116">
        <v>2972.93</v>
      </c>
    </row>
    <row r="31" spans="1:6" ht="42.75">
      <c r="A31" s="26" t="s">
        <v>33</v>
      </c>
      <c r="B31" s="20" t="s">
        <v>23</v>
      </c>
      <c r="C31" s="107" t="s">
        <v>67</v>
      </c>
      <c r="D31" s="56" t="s">
        <v>139</v>
      </c>
      <c r="E31" s="116">
        <f t="shared" si="0"/>
        <v>0.030000020182123478</v>
      </c>
      <c r="F31" s="116">
        <v>2972.93</v>
      </c>
    </row>
    <row r="32" spans="1:6" ht="28.5">
      <c r="A32" s="45" t="s">
        <v>34</v>
      </c>
      <c r="B32" s="38" t="s">
        <v>24</v>
      </c>
      <c r="C32" s="4" t="s">
        <v>112</v>
      </c>
      <c r="D32" s="56" t="s">
        <v>139</v>
      </c>
      <c r="E32" s="116">
        <f t="shared" si="0"/>
        <v>2.3800000201821234</v>
      </c>
      <c r="F32" s="116">
        <v>235852.29</v>
      </c>
    </row>
    <row r="33" spans="1:6" ht="28.5">
      <c r="A33" s="66" t="s">
        <v>35</v>
      </c>
      <c r="B33" s="67" t="s">
        <v>25</v>
      </c>
      <c r="C33" s="130" t="s">
        <v>112</v>
      </c>
      <c r="D33" s="56" t="s">
        <v>139</v>
      </c>
      <c r="E33" s="116">
        <f t="shared" si="0"/>
        <v>1.1699999798178764</v>
      </c>
      <c r="F33" s="116">
        <v>115944.19</v>
      </c>
    </row>
    <row r="34" spans="1:6" ht="28.5">
      <c r="A34" s="42" t="s">
        <v>37</v>
      </c>
      <c r="B34" s="19" t="s">
        <v>26</v>
      </c>
      <c r="C34" s="109" t="s">
        <v>67</v>
      </c>
      <c r="D34" s="56" t="s">
        <v>139</v>
      </c>
      <c r="E34" s="116">
        <f t="shared" si="0"/>
        <v>0.7300000201821234</v>
      </c>
      <c r="F34" s="116">
        <v>72341.25</v>
      </c>
    </row>
    <row r="35" spans="1:6" ht="28.5">
      <c r="A35" s="42" t="s">
        <v>39</v>
      </c>
      <c r="B35" s="19" t="s">
        <v>27</v>
      </c>
      <c r="C35" s="109" t="s">
        <v>67</v>
      </c>
      <c r="D35" s="56" t="s">
        <v>139</v>
      </c>
      <c r="E35" s="116">
        <f t="shared" si="0"/>
        <v>0.039999959635753035</v>
      </c>
      <c r="F35" s="116">
        <v>3963.9</v>
      </c>
    </row>
    <row r="36" spans="1:6" ht="42.75">
      <c r="A36" s="66" t="s">
        <v>40</v>
      </c>
      <c r="B36" s="67" t="s">
        <v>28</v>
      </c>
      <c r="C36" s="108" t="s">
        <v>67</v>
      </c>
      <c r="D36" s="56" t="s">
        <v>139</v>
      </c>
      <c r="E36" s="116">
        <f t="shared" si="0"/>
        <v>0.43000002018212347</v>
      </c>
      <c r="F36" s="116">
        <v>42611.97</v>
      </c>
    </row>
    <row r="37" spans="1:6" ht="57">
      <c r="A37" s="66" t="s">
        <v>42</v>
      </c>
      <c r="B37" s="67" t="s">
        <v>36</v>
      </c>
      <c r="C37" s="132" t="s">
        <v>67</v>
      </c>
      <c r="D37" s="56" t="s">
        <v>139</v>
      </c>
      <c r="E37" s="116">
        <f t="shared" si="0"/>
        <v>0.039999959635753035</v>
      </c>
      <c r="F37" s="116">
        <v>3963.9</v>
      </c>
    </row>
    <row r="38" spans="1:6" ht="57">
      <c r="A38" s="42" t="s">
        <v>44</v>
      </c>
      <c r="B38" s="19" t="s">
        <v>38</v>
      </c>
      <c r="C38" s="110" t="s">
        <v>67</v>
      </c>
      <c r="D38" s="56" t="s">
        <v>139</v>
      </c>
      <c r="E38" s="116">
        <f t="shared" si="0"/>
        <v>0.1699999798178765</v>
      </c>
      <c r="F38" s="116">
        <v>16846.59</v>
      </c>
    </row>
    <row r="39" spans="1:6" ht="14.25">
      <c r="A39" s="42" t="s">
        <v>46</v>
      </c>
      <c r="B39" s="126" t="s">
        <v>140</v>
      </c>
      <c r="C39" s="127" t="s">
        <v>112</v>
      </c>
      <c r="D39" s="115" t="s">
        <v>139</v>
      </c>
      <c r="E39" s="116">
        <f t="shared" si="0"/>
        <v>8.557708662974683</v>
      </c>
      <c r="F39" s="152">
        <v>848048.39</v>
      </c>
    </row>
    <row r="40" spans="1:6" ht="15" customHeight="1">
      <c r="A40" s="125"/>
      <c r="B40" s="170" t="s">
        <v>64</v>
      </c>
      <c r="C40" s="171"/>
      <c r="D40" s="171"/>
      <c r="E40" s="171"/>
      <c r="F40" s="153"/>
    </row>
    <row r="41" spans="1:6" ht="42.75">
      <c r="A41" s="26" t="s">
        <v>48</v>
      </c>
      <c r="B41" s="52" t="s">
        <v>74</v>
      </c>
      <c r="C41" s="128" t="s">
        <v>112</v>
      </c>
      <c r="D41" s="129" t="s">
        <v>139</v>
      </c>
      <c r="E41" s="116">
        <f aca="true" t="shared" si="1" ref="E41:E50">F41/12387.2/8</f>
        <v>2.114999959635753</v>
      </c>
      <c r="F41" s="116">
        <v>209591.42</v>
      </c>
    </row>
    <row r="42" spans="1:6" ht="42.75">
      <c r="A42" s="26" t="s">
        <v>50</v>
      </c>
      <c r="B42" s="20" t="s">
        <v>113</v>
      </c>
      <c r="C42" s="100" t="s">
        <v>69</v>
      </c>
      <c r="D42" s="56" t="s">
        <v>139</v>
      </c>
      <c r="E42" s="116">
        <f t="shared" si="1"/>
        <v>0.539999959635753</v>
      </c>
      <c r="F42" s="116">
        <v>53512.7</v>
      </c>
    </row>
    <row r="43" spans="1:6" ht="42.75">
      <c r="A43" s="45" t="s">
        <v>52</v>
      </c>
      <c r="B43" s="38" t="s">
        <v>41</v>
      </c>
      <c r="C43" s="4" t="s">
        <v>68</v>
      </c>
      <c r="D43" s="56" t="s">
        <v>139</v>
      </c>
      <c r="E43" s="116">
        <f t="shared" si="1"/>
        <v>0</v>
      </c>
      <c r="F43" s="116">
        <v>0</v>
      </c>
    </row>
    <row r="44" spans="1:6" ht="42.75">
      <c r="A44" s="66" t="s">
        <v>53</v>
      </c>
      <c r="B44" s="67" t="s">
        <v>43</v>
      </c>
      <c r="C44" s="132" t="s">
        <v>162</v>
      </c>
      <c r="D44" s="56" t="s">
        <v>139</v>
      </c>
      <c r="E44" s="116">
        <f t="shared" si="1"/>
        <v>1.1199999798178764</v>
      </c>
      <c r="F44" s="116">
        <v>110989.31</v>
      </c>
    </row>
    <row r="45" spans="1:6" ht="42.75">
      <c r="A45" s="42" t="s">
        <v>55</v>
      </c>
      <c r="B45" s="19" t="s">
        <v>45</v>
      </c>
      <c r="C45" s="132" t="s">
        <v>162</v>
      </c>
      <c r="D45" s="56" t="s">
        <v>139</v>
      </c>
      <c r="E45" s="116">
        <f t="shared" si="1"/>
        <v>1.1800000201821235</v>
      </c>
      <c r="F45" s="116">
        <v>116935.17</v>
      </c>
    </row>
    <row r="46" spans="1:6" ht="42.75">
      <c r="A46" s="42" t="s">
        <v>57</v>
      </c>
      <c r="B46" s="19" t="s">
        <v>47</v>
      </c>
      <c r="C46" s="132" t="s">
        <v>162</v>
      </c>
      <c r="D46" s="56" t="s">
        <v>139</v>
      </c>
      <c r="E46" s="116">
        <f t="shared" si="1"/>
        <v>0.8800000201821234</v>
      </c>
      <c r="F46" s="116">
        <v>87205.89</v>
      </c>
    </row>
    <row r="47" spans="1:6" ht="42.75">
      <c r="A47" s="42" t="s">
        <v>59</v>
      </c>
      <c r="B47" s="19" t="s">
        <v>49</v>
      </c>
      <c r="C47" s="132" t="s">
        <v>162</v>
      </c>
      <c r="D47" s="56" t="s">
        <v>139</v>
      </c>
      <c r="E47" s="116">
        <f t="shared" si="1"/>
        <v>1.7550000201821234</v>
      </c>
      <c r="F47" s="116">
        <v>173916.29</v>
      </c>
    </row>
    <row r="48" spans="1:6" ht="42.75">
      <c r="A48" s="42" t="s">
        <v>60</v>
      </c>
      <c r="B48" s="19" t="s">
        <v>51</v>
      </c>
      <c r="C48" s="132" t="s">
        <v>162</v>
      </c>
      <c r="D48" s="56" t="s">
        <v>139</v>
      </c>
      <c r="E48" s="116">
        <f t="shared" si="1"/>
        <v>1.3800000201821234</v>
      </c>
      <c r="F48" s="116">
        <v>136754.69</v>
      </c>
    </row>
    <row r="49" spans="1:6" ht="57">
      <c r="A49" s="98" t="s">
        <v>61</v>
      </c>
      <c r="B49" s="20" t="s">
        <v>121</v>
      </c>
      <c r="C49" s="111" t="s">
        <v>68</v>
      </c>
      <c r="D49" s="56" t="s">
        <v>139</v>
      </c>
      <c r="E49" s="116">
        <f t="shared" si="1"/>
        <v>0.2800000201821235</v>
      </c>
      <c r="F49" s="116">
        <v>27747.33</v>
      </c>
    </row>
    <row r="50" spans="1:6" ht="85.5">
      <c r="A50" s="26" t="s">
        <v>62</v>
      </c>
      <c r="B50" s="39" t="s">
        <v>122</v>
      </c>
      <c r="C50" s="158" t="s">
        <v>123</v>
      </c>
      <c r="D50" s="56" t="s">
        <v>139</v>
      </c>
      <c r="E50" s="116">
        <f t="shared" si="1"/>
        <v>8.547954642695686</v>
      </c>
      <c r="F50" s="116">
        <v>847081.79</v>
      </c>
    </row>
    <row r="51" spans="1:6" ht="15" customHeight="1">
      <c r="A51" s="25"/>
      <c r="B51" s="170" t="s">
        <v>65</v>
      </c>
      <c r="C51" s="171"/>
      <c r="D51" s="171"/>
      <c r="E51" s="171"/>
      <c r="F51" s="153"/>
    </row>
    <row r="52" spans="1:6" ht="42.75">
      <c r="A52" s="26" t="s">
        <v>63</v>
      </c>
      <c r="B52" s="20" t="s">
        <v>54</v>
      </c>
      <c r="C52" s="85" t="s">
        <v>112</v>
      </c>
      <c r="D52" s="56" t="s">
        <v>139</v>
      </c>
      <c r="E52" s="116">
        <f aca="true" t="shared" si="2" ref="E52:E62">F52/12387.2/8</f>
        <v>1.5100000403642468</v>
      </c>
      <c r="F52" s="116">
        <v>149637.38</v>
      </c>
    </row>
    <row r="53" spans="1:6" ht="28.5">
      <c r="A53" s="42" t="s">
        <v>75</v>
      </c>
      <c r="B53" s="19" t="s">
        <v>56</v>
      </c>
      <c r="C53" s="112" t="s">
        <v>69</v>
      </c>
      <c r="D53" s="56" t="s">
        <v>139</v>
      </c>
      <c r="E53" s="116">
        <f t="shared" si="2"/>
        <v>0.010000040364246964</v>
      </c>
      <c r="F53" s="116">
        <v>990.98</v>
      </c>
    </row>
    <row r="54" spans="1:6" ht="42.75">
      <c r="A54" s="42" t="s">
        <v>85</v>
      </c>
      <c r="B54" s="19" t="s">
        <v>58</v>
      </c>
      <c r="C54" s="16" t="s">
        <v>112</v>
      </c>
      <c r="D54" s="56" t="s">
        <v>139</v>
      </c>
      <c r="E54" s="116">
        <f t="shared" si="2"/>
        <v>1.5800000201821234</v>
      </c>
      <c r="F54" s="116">
        <v>156574.21</v>
      </c>
    </row>
    <row r="55" spans="1:6" ht="42.75">
      <c r="A55" s="42" t="s">
        <v>86</v>
      </c>
      <c r="B55" s="19" t="s">
        <v>124</v>
      </c>
      <c r="C55" s="124" t="s">
        <v>67</v>
      </c>
      <c r="D55" s="56" t="s">
        <v>139</v>
      </c>
      <c r="E55" s="116">
        <f t="shared" si="2"/>
        <v>0.13000002018212348</v>
      </c>
      <c r="F55" s="116">
        <v>12882.69</v>
      </c>
    </row>
    <row r="56" spans="1:6" ht="42.75">
      <c r="A56" s="45" t="s">
        <v>125</v>
      </c>
      <c r="B56" s="38" t="s">
        <v>126</v>
      </c>
      <c r="C56" s="113" t="s">
        <v>71</v>
      </c>
      <c r="D56" s="56" t="s">
        <v>139</v>
      </c>
      <c r="E56" s="116">
        <f t="shared" si="2"/>
        <v>0.739999959635753</v>
      </c>
      <c r="F56" s="116">
        <v>73332.22</v>
      </c>
    </row>
    <row r="57" spans="1:6" ht="31.5">
      <c r="A57" s="26" t="s">
        <v>127</v>
      </c>
      <c r="B57" s="101" t="s">
        <v>30</v>
      </c>
      <c r="C57" s="111" t="s">
        <v>128</v>
      </c>
      <c r="D57" s="56" t="s">
        <v>139</v>
      </c>
      <c r="E57" s="116">
        <f t="shared" si="2"/>
        <v>3.3649999596357527</v>
      </c>
      <c r="F57" s="116">
        <v>333463.42</v>
      </c>
    </row>
    <row r="58" spans="1:6" ht="28.5">
      <c r="A58" s="26" t="s">
        <v>129</v>
      </c>
      <c r="B58" s="160" t="s">
        <v>73</v>
      </c>
      <c r="C58" s="161" t="s">
        <v>16</v>
      </c>
      <c r="D58" s="56" t="s">
        <v>139</v>
      </c>
      <c r="E58" s="116">
        <f t="shared" si="2"/>
        <v>0.2800000201821235</v>
      </c>
      <c r="F58" s="116">
        <v>27747.33</v>
      </c>
    </row>
    <row r="59" spans="1:6" ht="14.25">
      <c r="A59" s="87" t="s">
        <v>131</v>
      </c>
      <c r="B59" s="88" t="s">
        <v>130</v>
      </c>
      <c r="C59" s="114" t="s">
        <v>16</v>
      </c>
      <c r="D59" s="56" t="s">
        <v>139</v>
      </c>
      <c r="E59" s="116">
        <f t="shared" si="2"/>
        <v>0.0945952273314389</v>
      </c>
      <c r="F59" s="116">
        <f>6285+1544.58+1544.58</f>
        <v>9374.16</v>
      </c>
    </row>
    <row r="60" spans="1:6" ht="14.25">
      <c r="A60" s="87" t="s">
        <v>142</v>
      </c>
      <c r="B60" s="88" t="s">
        <v>132</v>
      </c>
      <c r="C60" s="114" t="s">
        <v>16</v>
      </c>
      <c r="D60" s="56" t="s">
        <v>139</v>
      </c>
      <c r="E60" s="116">
        <f t="shared" si="2"/>
        <v>0.017333114020924825</v>
      </c>
      <c r="F60" s="116">
        <f>1183.01+267.33+267.33</f>
        <v>1717.6699999999998</v>
      </c>
    </row>
    <row r="61" spans="1:6" ht="14.25">
      <c r="A61" s="87" t="s">
        <v>143</v>
      </c>
      <c r="B61" s="88" t="s">
        <v>141</v>
      </c>
      <c r="C61" s="114" t="s">
        <v>16</v>
      </c>
      <c r="D61" s="56" t="s">
        <v>139</v>
      </c>
      <c r="E61" s="116">
        <f t="shared" si="2"/>
        <v>0.025504553087057607</v>
      </c>
      <c r="F61" s="116">
        <v>2527.44</v>
      </c>
    </row>
    <row r="62" spans="1:6" ht="13.5" customHeight="1">
      <c r="A62" s="87" t="s">
        <v>144</v>
      </c>
      <c r="B62" s="88" t="s">
        <v>133</v>
      </c>
      <c r="C62" s="114" t="s">
        <v>16</v>
      </c>
      <c r="D62" s="56" t="s">
        <v>139</v>
      </c>
      <c r="E62" s="116">
        <f t="shared" si="2"/>
        <v>1.4896819902802894</v>
      </c>
      <c r="F62" s="116">
        <f>98233.46+19967.81+19967.81+9454.83</f>
        <v>147623.91</v>
      </c>
    </row>
    <row r="63" spans="1:6" ht="31.5" customHeight="1" hidden="1">
      <c r="A63" s="26"/>
      <c r="B63" s="101" t="s">
        <v>145</v>
      </c>
      <c r="C63" s="17"/>
      <c r="D63" s="86"/>
      <c r="E63" s="133"/>
      <c r="F63" s="133">
        <f>F58+F57+F56+F55+F54+F53+F52+F50+F49+F48+F47+F46+F45+F44+F43+F42+F41+F39+F38+F37+F36+F35+F34+F33+F32+F31+F30+F29+F28+F27+F26+F23+F22+F21+F20</f>
        <v>4293469.25</v>
      </c>
    </row>
    <row r="64" spans="1:6" ht="15.75" customHeight="1" hidden="1">
      <c r="A64" s="77"/>
      <c r="B64" s="84"/>
      <c r="C64" s="81"/>
      <c r="D64" s="120"/>
      <c r="E64" s="117"/>
      <c r="F64" s="96"/>
    </row>
    <row r="65" spans="1:6" ht="31.5">
      <c r="A65" s="99"/>
      <c r="B65" s="104" t="s">
        <v>134</v>
      </c>
      <c r="C65" s="105"/>
      <c r="D65" s="56"/>
      <c r="E65" s="102"/>
      <c r="F65" s="102">
        <f>F63+F62+F61+F60+F59</f>
        <v>4454712.430000001</v>
      </c>
    </row>
  </sheetData>
  <sheetProtection/>
  <mergeCells count="3">
    <mergeCell ref="B40:E40"/>
    <mergeCell ref="B24:E24"/>
    <mergeCell ref="B51:E5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F65"/>
  <sheetViews>
    <sheetView zoomScalePageLayoutView="0" workbookViewId="0" topLeftCell="A1">
      <selection activeCell="B69" sqref="B69"/>
    </sheetView>
  </sheetViews>
  <sheetFormatPr defaultColWidth="9.140625" defaultRowHeight="12"/>
  <cols>
    <col min="2" max="2" width="40.57421875" style="0" customWidth="1"/>
    <col min="3" max="3" width="14.00390625" style="0" customWidth="1"/>
    <col min="4" max="4" width="12.140625" style="0" customWidth="1"/>
    <col min="6" max="6" width="16.8515625" style="0" customWidth="1"/>
  </cols>
  <sheetData>
    <row r="4" ht="15">
      <c r="B4" s="1" t="s">
        <v>146</v>
      </c>
    </row>
    <row r="5" ht="15">
      <c r="B5" s="1"/>
    </row>
    <row r="6" ht="18.75">
      <c r="B6" s="14" t="s">
        <v>159</v>
      </c>
    </row>
    <row r="10" ht="0.75" customHeight="1"/>
    <row r="11" ht="12" hidden="1"/>
    <row r="12" ht="12" hidden="1"/>
    <row r="13" ht="12" hidden="1"/>
    <row r="14" ht="12" hidden="1"/>
    <row r="15" ht="12" hidden="1"/>
    <row r="16" ht="12" hidden="1"/>
    <row r="17" ht="12" hidden="1"/>
    <row r="18" ht="12" hidden="1"/>
    <row r="19" spans="1:6" ht="99.75">
      <c r="A19" s="121" t="s">
        <v>0</v>
      </c>
      <c r="B19" s="85" t="s">
        <v>88</v>
      </c>
      <c r="C19" s="56" t="s">
        <v>89</v>
      </c>
      <c r="D19" s="56" t="s">
        <v>138</v>
      </c>
      <c r="E19" s="56" t="s">
        <v>90</v>
      </c>
      <c r="F19" s="56" t="s">
        <v>160</v>
      </c>
    </row>
    <row r="20" spans="1:6" ht="14.25">
      <c r="A20" s="121" t="s">
        <v>93</v>
      </c>
      <c r="B20" s="85" t="s">
        <v>94</v>
      </c>
      <c r="C20" s="56" t="s">
        <v>95</v>
      </c>
      <c r="D20" s="56" t="s">
        <v>139</v>
      </c>
      <c r="E20" s="116">
        <f>F20/12297.7/8</f>
        <v>0.4450071964676321</v>
      </c>
      <c r="F20" s="116">
        <v>43780.52</v>
      </c>
    </row>
    <row r="21" spans="1:6" ht="72.75">
      <c r="A21" s="121" t="s">
        <v>96</v>
      </c>
      <c r="B21" s="122" t="s">
        <v>97</v>
      </c>
      <c r="C21" s="56" t="s">
        <v>95</v>
      </c>
      <c r="D21" s="56" t="s">
        <v>139</v>
      </c>
      <c r="E21" s="116">
        <f>F21/12297.7/8</f>
        <v>0.17000272408661782</v>
      </c>
      <c r="F21" s="116">
        <v>16725.14</v>
      </c>
    </row>
    <row r="22" spans="1:6" ht="14.25">
      <c r="A22" s="121" t="s">
        <v>98</v>
      </c>
      <c r="B22" s="122" t="s">
        <v>99</v>
      </c>
      <c r="C22" s="56" t="s">
        <v>95</v>
      </c>
      <c r="D22" s="56" t="s">
        <v>139</v>
      </c>
      <c r="E22" s="116">
        <f>F22/12297.7/8</f>
        <v>1.495024272831505</v>
      </c>
      <c r="F22" s="116">
        <v>147082.88</v>
      </c>
    </row>
    <row r="23" spans="1:6" ht="42.75">
      <c r="A23" s="121" t="s">
        <v>100</v>
      </c>
      <c r="B23" s="122" t="s">
        <v>101</v>
      </c>
      <c r="C23" s="56" t="s">
        <v>95</v>
      </c>
      <c r="D23" s="56" t="s">
        <v>139</v>
      </c>
      <c r="E23" s="116">
        <f>F23/12297.7/8</f>
        <v>1.245020207030583</v>
      </c>
      <c r="F23" s="116">
        <v>122487.08</v>
      </c>
    </row>
    <row r="24" spans="1:6" ht="15">
      <c r="A24" s="30"/>
      <c r="B24" s="168" t="s">
        <v>6</v>
      </c>
      <c r="C24" s="169"/>
      <c r="D24" s="169"/>
      <c r="E24" s="169"/>
      <c r="F24" s="151"/>
    </row>
    <row r="25" spans="1:6" ht="14.25">
      <c r="A25" s="37"/>
      <c r="B25" s="75"/>
      <c r="C25" s="76"/>
      <c r="D25" s="76"/>
      <c r="E25" s="74"/>
      <c r="F25" s="74"/>
    </row>
    <row r="26" spans="1:6" ht="31.5">
      <c r="A26" s="31" t="s">
        <v>102</v>
      </c>
      <c r="B26" s="55" t="s">
        <v>19</v>
      </c>
      <c r="C26" s="123" t="s">
        <v>67</v>
      </c>
      <c r="D26" s="56" t="s">
        <v>139</v>
      </c>
      <c r="E26" s="116">
        <f aca="true" t="shared" si="0" ref="E26:E39">F26/12297.7/8</f>
        <v>0.5500089447620287</v>
      </c>
      <c r="F26" s="116">
        <v>54110.76</v>
      </c>
    </row>
    <row r="27" spans="1:6" ht="14.25">
      <c r="A27" s="33" t="s">
        <v>103</v>
      </c>
      <c r="B27" s="12" t="s">
        <v>20</v>
      </c>
      <c r="C27" s="123" t="s">
        <v>67</v>
      </c>
      <c r="D27" s="56" t="s">
        <v>139</v>
      </c>
      <c r="E27" s="116">
        <f t="shared" si="0"/>
        <v>0.19000311033770542</v>
      </c>
      <c r="F27" s="116">
        <v>18692.81</v>
      </c>
    </row>
    <row r="28" spans="1:6" ht="28.5">
      <c r="A28" s="66" t="s">
        <v>104</v>
      </c>
      <c r="B28" s="67" t="s">
        <v>21</v>
      </c>
      <c r="C28" s="108" t="s">
        <v>67</v>
      </c>
      <c r="D28" s="56" t="s">
        <v>139</v>
      </c>
      <c r="E28" s="116">
        <f t="shared" si="0"/>
        <v>0.16000258178358553</v>
      </c>
      <c r="F28" s="116">
        <v>15741.31</v>
      </c>
    </row>
    <row r="29" spans="1:6" ht="42.75">
      <c r="A29" s="42" t="s">
        <v>105</v>
      </c>
      <c r="B29" s="19" t="s">
        <v>22</v>
      </c>
      <c r="C29" s="107" t="s">
        <v>67</v>
      </c>
      <c r="D29" s="56" t="s">
        <v>139</v>
      </c>
      <c r="E29" s="116">
        <f t="shared" si="0"/>
        <v>0.0800013417143043</v>
      </c>
      <c r="F29" s="116">
        <v>7870.66</v>
      </c>
    </row>
    <row r="30" spans="1:6" ht="42.75">
      <c r="A30" s="51" t="s">
        <v>32</v>
      </c>
      <c r="B30" s="52" t="s">
        <v>31</v>
      </c>
      <c r="C30" s="109" t="s">
        <v>67</v>
      </c>
      <c r="D30" s="56" t="s">
        <v>139</v>
      </c>
      <c r="E30" s="116">
        <f t="shared" si="0"/>
        <v>0.030000528554119874</v>
      </c>
      <c r="F30" s="116">
        <v>2951.5</v>
      </c>
    </row>
    <row r="31" spans="1:6" ht="42.75">
      <c r="A31" s="26" t="s">
        <v>33</v>
      </c>
      <c r="B31" s="20" t="s">
        <v>23</v>
      </c>
      <c r="C31" s="107" t="s">
        <v>67</v>
      </c>
      <c r="D31" s="56" t="s">
        <v>139</v>
      </c>
      <c r="E31" s="116">
        <f t="shared" si="0"/>
        <v>0.030000528554119874</v>
      </c>
      <c r="F31" s="116">
        <v>2951.5</v>
      </c>
    </row>
    <row r="32" spans="1:6" ht="28.5">
      <c r="A32" s="45" t="s">
        <v>34</v>
      </c>
      <c r="B32" s="38" t="s">
        <v>24</v>
      </c>
      <c r="C32" s="4" t="s">
        <v>112</v>
      </c>
      <c r="D32" s="56" t="s">
        <v>139</v>
      </c>
      <c r="E32" s="116">
        <f t="shared" si="0"/>
        <v>2.3800387470827875</v>
      </c>
      <c r="F32" s="116">
        <v>234152.02</v>
      </c>
    </row>
    <row r="33" spans="1:6" ht="28.5">
      <c r="A33" s="66" t="s">
        <v>35</v>
      </c>
      <c r="B33" s="67" t="s">
        <v>25</v>
      </c>
      <c r="C33" s="130" t="s">
        <v>112</v>
      </c>
      <c r="D33" s="56" t="s">
        <v>139</v>
      </c>
      <c r="E33" s="116">
        <f t="shared" si="0"/>
        <v>1.1700189872903062</v>
      </c>
      <c r="F33" s="116">
        <v>115108.34</v>
      </c>
    </row>
    <row r="34" spans="1:6" ht="28.5">
      <c r="A34" s="42" t="s">
        <v>37</v>
      </c>
      <c r="B34" s="19" t="s">
        <v>26</v>
      </c>
      <c r="C34" s="109" t="s">
        <v>67</v>
      </c>
      <c r="D34" s="56" t="s">
        <v>139</v>
      </c>
      <c r="E34" s="116">
        <f t="shared" si="0"/>
        <v>0.7300119127967019</v>
      </c>
      <c r="F34" s="116">
        <v>71819.74</v>
      </c>
    </row>
    <row r="35" spans="1:6" ht="42.75">
      <c r="A35" s="42" t="s">
        <v>39</v>
      </c>
      <c r="B35" s="19" t="s">
        <v>27</v>
      </c>
      <c r="C35" s="109" t="s">
        <v>67</v>
      </c>
      <c r="D35" s="56" t="s">
        <v>139</v>
      </c>
      <c r="E35" s="116">
        <f t="shared" si="0"/>
        <v>0.04000067085715215</v>
      </c>
      <c r="F35" s="116">
        <v>3935.33</v>
      </c>
    </row>
    <row r="36" spans="1:6" ht="42.75">
      <c r="A36" s="66" t="s">
        <v>40</v>
      </c>
      <c r="B36" s="67" t="s">
        <v>28</v>
      </c>
      <c r="C36" s="108" t="s">
        <v>67</v>
      </c>
      <c r="D36" s="56" t="s">
        <v>139</v>
      </c>
      <c r="E36" s="116">
        <f t="shared" si="0"/>
        <v>0.43000703383559524</v>
      </c>
      <c r="F36" s="116">
        <v>42304.78</v>
      </c>
    </row>
    <row r="37" spans="1:6" ht="57">
      <c r="A37" s="66" t="s">
        <v>42</v>
      </c>
      <c r="B37" s="67" t="s">
        <v>36</v>
      </c>
      <c r="C37" s="132" t="s">
        <v>67</v>
      </c>
      <c r="D37" s="56" t="s">
        <v>139</v>
      </c>
      <c r="E37" s="116">
        <f t="shared" si="0"/>
        <v>0.04000067085715215</v>
      </c>
      <c r="F37" s="116">
        <v>3935.33</v>
      </c>
    </row>
    <row r="38" spans="1:6" ht="71.25">
      <c r="A38" s="66" t="s">
        <v>44</v>
      </c>
      <c r="B38" s="67" t="s">
        <v>38</v>
      </c>
      <c r="C38" s="108" t="s">
        <v>67</v>
      </c>
      <c r="D38" s="56" t="s">
        <v>139</v>
      </c>
      <c r="E38" s="116">
        <f t="shared" si="0"/>
        <v>0.17000272408661782</v>
      </c>
      <c r="F38" s="116">
        <v>16725.14</v>
      </c>
    </row>
    <row r="39" spans="1:6" ht="28.5">
      <c r="A39" s="42" t="s">
        <v>46</v>
      </c>
      <c r="B39" s="126" t="s">
        <v>140</v>
      </c>
      <c r="C39" s="127" t="s">
        <v>112</v>
      </c>
      <c r="D39" s="115" t="s">
        <v>139</v>
      </c>
      <c r="E39" s="116">
        <f t="shared" si="0"/>
        <v>5.90682465013783</v>
      </c>
      <c r="F39" s="152">
        <v>581122.86</v>
      </c>
    </row>
    <row r="40" spans="1:6" ht="15" customHeight="1">
      <c r="A40" s="125"/>
      <c r="B40" s="170" t="s">
        <v>64</v>
      </c>
      <c r="C40" s="171"/>
      <c r="D40" s="171"/>
      <c r="E40" s="171"/>
      <c r="F40" s="153"/>
    </row>
    <row r="41" spans="1:6" ht="57">
      <c r="A41" s="26" t="s">
        <v>48</v>
      </c>
      <c r="B41" s="52" t="s">
        <v>74</v>
      </c>
      <c r="C41" s="128" t="s">
        <v>112</v>
      </c>
      <c r="D41" s="129" t="s">
        <v>139</v>
      </c>
      <c r="E41" s="116">
        <f aca="true" t="shared" si="1" ref="E41:E50">F41/12297.7/8</f>
        <v>2.115034417004806</v>
      </c>
      <c r="F41" s="116">
        <v>208080.47</v>
      </c>
    </row>
    <row r="42" spans="1:6" ht="42.75">
      <c r="A42" s="26" t="s">
        <v>50</v>
      </c>
      <c r="B42" s="20" t="s">
        <v>113</v>
      </c>
      <c r="C42" s="100" t="s">
        <v>69</v>
      </c>
      <c r="D42" s="56" t="s">
        <v>139</v>
      </c>
      <c r="E42" s="116">
        <f t="shared" si="1"/>
        <v>0.5400088024589964</v>
      </c>
      <c r="F42" s="116">
        <v>53126.93</v>
      </c>
    </row>
    <row r="43" spans="1:6" ht="42.75">
      <c r="A43" s="45" t="s">
        <v>52</v>
      </c>
      <c r="B43" s="38" t="s">
        <v>41</v>
      </c>
      <c r="C43" s="4" t="s">
        <v>68</v>
      </c>
      <c r="D43" s="56" t="s">
        <v>139</v>
      </c>
      <c r="E43" s="116">
        <f t="shared" si="1"/>
        <v>0</v>
      </c>
      <c r="F43" s="116">
        <v>0</v>
      </c>
    </row>
    <row r="44" spans="1:6" ht="42.75">
      <c r="A44" s="66" t="s">
        <v>53</v>
      </c>
      <c r="B44" s="67" t="s">
        <v>43</v>
      </c>
      <c r="C44" s="132" t="s">
        <v>162</v>
      </c>
      <c r="D44" s="56" t="s">
        <v>139</v>
      </c>
      <c r="E44" s="116">
        <f t="shared" si="1"/>
        <v>1.1200181741301218</v>
      </c>
      <c r="F44" s="116">
        <v>110189.18</v>
      </c>
    </row>
    <row r="45" spans="1:6" ht="42.75">
      <c r="A45" s="42" t="s">
        <v>55</v>
      </c>
      <c r="B45" s="19" t="s">
        <v>45</v>
      </c>
      <c r="C45" s="132" t="s">
        <v>162</v>
      </c>
      <c r="D45" s="56" t="s">
        <v>139</v>
      </c>
      <c r="E45" s="116">
        <f t="shared" si="1"/>
        <v>1.1800192312383615</v>
      </c>
      <c r="F45" s="116">
        <v>116092.18</v>
      </c>
    </row>
    <row r="46" spans="1:6" ht="42.75">
      <c r="A46" s="42" t="s">
        <v>57</v>
      </c>
      <c r="B46" s="19" t="s">
        <v>47</v>
      </c>
      <c r="C46" s="132" t="s">
        <v>162</v>
      </c>
      <c r="D46" s="56" t="s">
        <v>139</v>
      </c>
      <c r="E46" s="116">
        <f t="shared" si="1"/>
        <v>0.8800143522772551</v>
      </c>
      <c r="F46" s="116">
        <v>86577.22</v>
      </c>
    </row>
    <row r="47" spans="1:6" ht="42.75">
      <c r="A47" s="42" t="s">
        <v>59</v>
      </c>
      <c r="B47" s="19" t="s">
        <v>49</v>
      </c>
      <c r="C47" s="132" t="s">
        <v>162</v>
      </c>
      <c r="D47" s="56" t="s">
        <v>139</v>
      </c>
      <c r="E47" s="116">
        <f t="shared" si="1"/>
        <v>1.7550285825804823</v>
      </c>
      <c r="F47" s="116">
        <v>172662.52</v>
      </c>
    </row>
    <row r="48" spans="1:6" ht="42.75">
      <c r="A48" s="42" t="s">
        <v>60</v>
      </c>
      <c r="B48" s="19" t="s">
        <v>51</v>
      </c>
      <c r="C48" s="132" t="s">
        <v>162</v>
      </c>
      <c r="D48" s="56" t="s">
        <v>139</v>
      </c>
      <c r="E48" s="116">
        <f t="shared" si="1"/>
        <v>1.3800224838790993</v>
      </c>
      <c r="F48" s="116">
        <v>135768.82</v>
      </c>
    </row>
    <row r="49" spans="1:6" ht="57">
      <c r="A49" s="98" t="s">
        <v>61</v>
      </c>
      <c r="B49" s="20" t="s">
        <v>121</v>
      </c>
      <c r="C49" s="111" t="s">
        <v>68</v>
      </c>
      <c r="D49" s="56" t="s">
        <v>139</v>
      </c>
      <c r="E49" s="116">
        <f t="shared" si="1"/>
        <v>0.280004594355042</v>
      </c>
      <c r="F49" s="116">
        <v>27547.3</v>
      </c>
    </row>
    <row r="50" spans="1:6" ht="114">
      <c r="A50" s="26" t="s">
        <v>62</v>
      </c>
      <c r="B50" s="39" t="s">
        <v>122</v>
      </c>
      <c r="C50" s="158" t="s">
        <v>123</v>
      </c>
      <c r="D50" s="56" t="s">
        <v>139</v>
      </c>
      <c r="E50" s="116">
        <f t="shared" si="1"/>
        <v>8.547537954251608</v>
      </c>
      <c r="F50" s="116">
        <v>840920.46</v>
      </c>
    </row>
    <row r="51" spans="1:6" ht="15" customHeight="1">
      <c r="A51" s="25"/>
      <c r="B51" s="170" t="s">
        <v>65</v>
      </c>
      <c r="C51" s="171"/>
      <c r="D51" s="171"/>
      <c r="E51" s="171"/>
      <c r="F51" s="153"/>
    </row>
    <row r="52" spans="1:6" ht="42.75">
      <c r="A52" s="26" t="s">
        <v>63</v>
      </c>
      <c r="B52" s="20" t="s">
        <v>54</v>
      </c>
      <c r="C52" s="85" t="s">
        <v>112</v>
      </c>
      <c r="D52" s="56" t="s">
        <v>139</v>
      </c>
      <c r="E52" s="116">
        <f aca="true" t="shared" si="2" ref="E52:E62">F52/12297.7/8</f>
        <v>1.510024537108565</v>
      </c>
      <c r="F52" s="116">
        <v>148558.63</v>
      </c>
    </row>
    <row r="53" spans="1:6" ht="42.75">
      <c r="A53" s="42" t="s">
        <v>75</v>
      </c>
      <c r="B53" s="19" t="s">
        <v>56</v>
      </c>
      <c r="C53" s="112" t="s">
        <v>69</v>
      </c>
      <c r="D53" s="56" t="s">
        <v>139</v>
      </c>
      <c r="E53" s="116">
        <f t="shared" si="2"/>
        <v>0.010000142303032275</v>
      </c>
      <c r="F53" s="116">
        <v>983.83</v>
      </c>
    </row>
    <row r="54" spans="1:6" ht="42.75">
      <c r="A54" s="42" t="s">
        <v>85</v>
      </c>
      <c r="B54" s="19" t="s">
        <v>58</v>
      </c>
      <c r="C54" s="16" t="s">
        <v>112</v>
      </c>
      <c r="D54" s="56" t="s">
        <v>139</v>
      </c>
      <c r="E54" s="116">
        <f t="shared" si="2"/>
        <v>1.580025736519837</v>
      </c>
      <c r="F54" s="116">
        <v>155445.46</v>
      </c>
    </row>
    <row r="55" spans="1:6" ht="42.75">
      <c r="A55" s="42" t="s">
        <v>86</v>
      </c>
      <c r="B55" s="19" t="s">
        <v>124</v>
      </c>
      <c r="C55" s="124" t="s">
        <v>67</v>
      </c>
      <c r="D55" s="56" t="s">
        <v>139</v>
      </c>
      <c r="E55" s="116">
        <f t="shared" si="2"/>
        <v>0.1300021548744887</v>
      </c>
      <c r="F55" s="116">
        <v>12789.82</v>
      </c>
    </row>
    <row r="56" spans="1:6" ht="42.75">
      <c r="A56" s="45" t="s">
        <v>125</v>
      </c>
      <c r="B56" s="38" t="s">
        <v>126</v>
      </c>
      <c r="C56" s="113" t="s">
        <v>71</v>
      </c>
      <c r="D56" s="56" t="s">
        <v>139</v>
      </c>
      <c r="E56" s="116">
        <f t="shared" si="2"/>
        <v>0.7400120550997341</v>
      </c>
      <c r="F56" s="116">
        <v>72803.57</v>
      </c>
    </row>
    <row r="57" spans="1:6" ht="31.5">
      <c r="A57" s="26" t="s">
        <v>127</v>
      </c>
      <c r="B57" s="101" t="s">
        <v>30</v>
      </c>
      <c r="C57" s="111" t="s">
        <v>128</v>
      </c>
      <c r="D57" s="56" t="s">
        <v>139</v>
      </c>
      <c r="E57" s="116">
        <f t="shared" si="2"/>
        <v>3.365054746009416</v>
      </c>
      <c r="F57" s="116">
        <v>331059.47</v>
      </c>
    </row>
    <row r="58" spans="1:6" ht="28.5">
      <c r="A58" s="26" t="s">
        <v>129</v>
      </c>
      <c r="B58" s="160" t="s">
        <v>73</v>
      </c>
      <c r="C58" s="161" t="s">
        <v>16</v>
      </c>
      <c r="D58" s="56" t="s">
        <v>139</v>
      </c>
      <c r="E58" s="116">
        <f t="shared" si="2"/>
        <v>0.280004594355042</v>
      </c>
      <c r="F58" s="116">
        <v>27547.3</v>
      </c>
    </row>
    <row r="59" spans="1:6" ht="14.25">
      <c r="A59" s="87" t="s">
        <v>131</v>
      </c>
      <c r="B59" s="88" t="s">
        <v>130</v>
      </c>
      <c r="C59" s="114" t="s">
        <v>16</v>
      </c>
      <c r="D59" s="56" t="s">
        <v>139</v>
      </c>
      <c r="E59" s="116">
        <f t="shared" si="2"/>
        <v>0.09139930637436268</v>
      </c>
      <c r="F59" s="116">
        <f>6085.93+1453.04+1453.04</f>
        <v>8992.01</v>
      </c>
    </row>
    <row r="60" spans="1:6" ht="14.25">
      <c r="A60" s="87" t="s">
        <v>142</v>
      </c>
      <c r="B60" s="88" t="s">
        <v>132</v>
      </c>
      <c r="C60" s="114" t="s">
        <v>16</v>
      </c>
      <c r="D60" s="56" t="s">
        <v>139</v>
      </c>
      <c r="E60" s="116">
        <f t="shared" si="2"/>
        <v>0.01691251209575774</v>
      </c>
      <c r="F60" s="116">
        <f>1160.84+251.52+251.52</f>
        <v>1663.8799999999999</v>
      </c>
    </row>
    <row r="61" spans="1:6" ht="14.25">
      <c r="A61" s="87" t="s">
        <v>143</v>
      </c>
      <c r="B61" s="88" t="s">
        <v>141</v>
      </c>
      <c r="C61" s="114" t="s">
        <v>16</v>
      </c>
      <c r="D61" s="56" t="s">
        <v>139</v>
      </c>
      <c r="E61" s="116">
        <f t="shared" si="2"/>
        <v>0.02625226668401408</v>
      </c>
      <c r="F61" s="116">
        <v>2582.74</v>
      </c>
    </row>
    <row r="62" spans="1:6" ht="24.75" customHeight="1">
      <c r="A62" s="87" t="s">
        <v>144</v>
      </c>
      <c r="B62" s="88" t="s">
        <v>133</v>
      </c>
      <c r="C62" s="114" t="s">
        <v>16</v>
      </c>
      <c r="D62" s="56" t="s">
        <v>139</v>
      </c>
      <c r="E62" s="116">
        <f t="shared" si="2"/>
        <v>1.5212084373500734</v>
      </c>
      <c r="F62" s="116">
        <f>100830.4+19922.62+19622.62+9283.28</f>
        <v>149658.91999999998</v>
      </c>
    </row>
    <row r="63" spans="1:6" ht="31.5" hidden="1">
      <c r="A63" s="26"/>
      <c r="B63" s="101" t="s">
        <v>145</v>
      </c>
      <c r="C63" s="17"/>
      <c r="D63" s="86"/>
      <c r="E63" s="133"/>
      <c r="F63" s="133">
        <f>F58+F57+F56+F55+F54+F53+F52+F50+F49+F48+F47+F46+F45+F44+F43+F42+F41+F39+F38+F37+F36+F35+F34+F33+F32+F31+F30+F29+F28+F27+F26+F23+F22+F21+F20</f>
        <v>4001650.860000001</v>
      </c>
    </row>
    <row r="64" spans="1:6" ht="15.75" hidden="1">
      <c r="A64" s="77"/>
      <c r="B64" s="84"/>
      <c r="C64" s="81"/>
      <c r="D64" s="120"/>
      <c r="E64" s="117"/>
      <c r="F64" s="96"/>
    </row>
    <row r="65" spans="1:6" ht="31.5">
      <c r="A65" s="99"/>
      <c r="B65" s="104" t="s">
        <v>134</v>
      </c>
      <c r="C65" s="105"/>
      <c r="D65" s="56"/>
      <c r="E65" s="102"/>
      <c r="F65" s="102">
        <f>F63+F62+F61+F60+F59</f>
        <v>4164548.4100000006</v>
      </c>
    </row>
  </sheetData>
  <sheetProtection/>
  <mergeCells count="3">
    <mergeCell ref="B40:E40"/>
    <mergeCell ref="B24:E24"/>
    <mergeCell ref="B51:E5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F70"/>
  <sheetViews>
    <sheetView tabSelected="1" zoomScalePageLayoutView="0" workbookViewId="0" topLeftCell="A1">
      <selection activeCell="D19" sqref="D19"/>
    </sheetView>
  </sheetViews>
  <sheetFormatPr defaultColWidth="9.140625" defaultRowHeight="12"/>
  <cols>
    <col min="2" max="2" width="41.28125" style="0" customWidth="1"/>
    <col min="3" max="3" width="14.8515625" style="0" customWidth="1"/>
    <col min="5" max="5" width="12.140625" style="0" customWidth="1"/>
    <col min="6" max="6" width="15.140625" style="0" customWidth="1"/>
  </cols>
  <sheetData>
    <row r="4" ht="15">
      <c r="B4" s="1" t="s">
        <v>146</v>
      </c>
    </row>
    <row r="5" ht="15">
      <c r="B5" s="1"/>
    </row>
    <row r="6" ht="18.75">
      <c r="B6" s="14" t="s">
        <v>161</v>
      </c>
    </row>
    <row r="9" ht="5.25" customHeight="1"/>
    <row r="10" ht="12" hidden="1"/>
    <row r="11" ht="12" hidden="1"/>
    <row r="12" ht="12" hidden="1"/>
    <row r="13" ht="12" hidden="1"/>
    <row r="14" ht="12" hidden="1"/>
    <row r="15" ht="12" hidden="1"/>
    <row r="16" ht="12" hidden="1"/>
    <row r="17" ht="12" hidden="1"/>
    <row r="18" ht="12" hidden="1"/>
    <row r="19" spans="1:6" ht="99.75">
      <c r="A19" s="121" t="s">
        <v>0</v>
      </c>
      <c r="B19" s="85" t="s">
        <v>88</v>
      </c>
      <c r="C19" s="56" t="s">
        <v>89</v>
      </c>
      <c r="D19" s="56" t="s">
        <v>138</v>
      </c>
      <c r="E19" s="56" t="s">
        <v>90</v>
      </c>
      <c r="F19" s="56" t="s">
        <v>157</v>
      </c>
    </row>
    <row r="20" spans="1:6" ht="14.25">
      <c r="A20" s="121" t="s">
        <v>93</v>
      </c>
      <c r="B20" s="85" t="s">
        <v>94</v>
      </c>
      <c r="C20" s="56" t="s">
        <v>95</v>
      </c>
      <c r="D20" s="56" t="s">
        <v>139</v>
      </c>
      <c r="E20" s="116">
        <f>F20/4534.9/8</f>
        <v>0.4699998897439856</v>
      </c>
      <c r="F20" s="116">
        <v>17051.22</v>
      </c>
    </row>
    <row r="21" spans="1:6" ht="72.75">
      <c r="A21" s="121" t="s">
        <v>96</v>
      </c>
      <c r="B21" s="122" t="s">
        <v>97</v>
      </c>
      <c r="C21" s="56" t="s">
        <v>95</v>
      </c>
      <c r="D21" s="56" t="s">
        <v>139</v>
      </c>
      <c r="E21" s="116">
        <f>F21/4534.9/8</f>
        <v>0.19000005512800724</v>
      </c>
      <c r="F21" s="116">
        <v>6893.05</v>
      </c>
    </row>
    <row r="22" spans="1:6" ht="14.25">
      <c r="A22" s="121" t="s">
        <v>98</v>
      </c>
      <c r="B22" s="122" t="s">
        <v>99</v>
      </c>
      <c r="C22" s="56" t="s">
        <v>95</v>
      </c>
      <c r="D22" s="56" t="s">
        <v>139</v>
      </c>
      <c r="E22" s="116">
        <f>F22/4534.9/8</f>
        <v>1.5750000000000002</v>
      </c>
      <c r="F22" s="116">
        <v>57139.74</v>
      </c>
    </row>
    <row r="23" spans="1:6" ht="42.75">
      <c r="A23" s="121" t="s">
        <v>100</v>
      </c>
      <c r="B23" s="122" t="s">
        <v>101</v>
      </c>
      <c r="C23" s="56" t="s">
        <v>95</v>
      </c>
      <c r="D23" s="56" t="s">
        <v>139</v>
      </c>
      <c r="E23" s="116">
        <f>F23/4534.9/8</f>
        <v>1.2849999448719929</v>
      </c>
      <c r="F23" s="116">
        <v>46618.77</v>
      </c>
    </row>
    <row r="24" spans="1:6" ht="15">
      <c r="A24" s="30"/>
      <c r="B24" s="168" t="s">
        <v>6</v>
      </c>
      <c r="C24" s="169"/>
      <c r="D24" s="169"/>
      <c r="E24" s="169"/>
      <c r="F24" s="151"/>
    </row>
    <row r="25" spans="1:6" ht="14.25">
      <c r="A25" s="37"/>
      <c r="B25" s="75"/>
      <c r="C25" s="76"/>
      <c r="D25" s="76"/>
      <c r="E25" s="74"/>
      <c r="F25" s="74"/>
    </row>
    <row r="26" spans="1:6" ht="30.75" customHeight="1">
      <c r="A26" s="31" t="s">
        <v>102</v>
      </c>
      <c r="B26" s="55" t="s">
        <v>19</v>
      </c>
      <c r="C26" s="123" t="s">
        <v>67</v>
      </c>
      <c r="D26" s="56" t="s">
        <v>139</v>
      </c>
      <c r="E26" s="116">
        <f>F26/4534.9/8</f>
        <v>0.5900000551280072</v>
      </c>
      <c r="F26" s="116">
        <v>21404.73</v>
      </c>
    </row>
    <row r="27" spans="1:6" ht="180" customHeight="1" hidden="1">
      <c r="A27" s="32"/>
      <c r="B27" s="5" t="s">
        <v>7</v>
      </c>
      <c r="C27" s="8"/>
      <c r="D27" s="56" t="s">
        <v>139</v>
      </c>
      <c r="E27" s="57"/>
      <c r="F27" s="58"/>
    </row>
    <row r="28" spans="1:6" ht="28.5">
      <c r="A28" s="33" t="s">
        <v>103</v>
      </c>
      <c r="B28" s="19" t="s">
        <v>20</v>
      </c>
      <c r="C28" s="123" t="s">
        <v>67</v>
      </c>
      <c r="D28" s="56" t="s">
        <v>139</v>
      </c>
      <c r="E28" s="116">
        <f>F28/4534.9/8</f>
        <v>0.20999994487199278</v>
      </c>
      <c r="F28" s="116">
        <v>7618.63</v>
      </c>
    </row>
    <row r="29" spans="1:6" ht="255" customHeight="1" hidden="1">
      <c r="A29" s="34"/>
      <c r="B29" s="35" t="s">
        <v>8</v>
      </c>
      <c r="C29" s="36"/>
      <c r="D29" s="56" t="s">
        <v>139</v>
      </c>
      <c r="E29" s="57"/>
      <c r="F29" s="58"/>
    </row>
    <row r="30" spans="1:6" ht="28.5">
      <c r="A30" s="66" t="s">
        <v>104</v>
      </c>
      <c r="B30" s="67" t="s">
        <v>21</v>
      </c>
      <c r="C30" s="108" t="s">
        <v>67</v>
      </c>
      <c r="D30" s="56" t="s">
        <v>139</v>
      </c>
      <c r="E30" s="116">
        <f>F30/4534.9/8</f>
        <v>0.18000011025601448</v>
      </c>
      <c r="F30" s="116">
        <v>6530.26</v>
      </c>
    </row>
    <row r="31" spans="1:6" ht="62.25" customHeight="1" hidden="1">
      <c r="A31" s="70"/>
      <c r="B31" s="71" t="s">
        <v>9</v>
      </c>
      <c r="C31" s="72"/>
      <c r="D31" s="56" t="s">
        <v>139</v>
      </c>
      <c r="E31" s="59"/>
      <c r="F31" s="58"/>
    </row>
    <row r="32" spans="1:6" ht="40.5" customHeight="1">
      <c r="A32" s="42" t="s">
        <v>105</v>
      </c>
      <c r="B32" s="19" t="s">
        <v>22</v>
      </c>
      <c r="C32" s="107" t="s">
        <v>67</v>
      </c>
      <c r="D32" s="56" t="s">
        <v>139</v>
      </c>
      <c r="E32" s="116">
        <f>F32/4534.9/8</f>
        <v>0.09000005512800724</v>
      </c>
      <c r="F32" s="116">
        <v>3265.13</v>
      </c>
    </row>
    <row r="33" spans="1:6" ht="0.75" customHeight="1" hidden="1">
      <c r="A33" s="34"/>
      <c r="B33" s="53" t="s">
        <v>10</v>
      </c>
      <c r="C33" s="54"/>
      <c r="D33" s="56" t="s">
        <v>139</v>
      </c>
      <c r="E33" s="60"/>
      <c r="F33" s="58"/>
    </row>
    <row r="34" spans="1:6" ht="42" customHeight="1">
      <c r="A34" s="51" t="s">
        <v>32</v>
      </c>
      <c r="B34" s="52" t="s">
        <v>31</v>
      </c>
      <c r="C34" s="109" t="s">
        <v>67</v>
      </c>
      <c r="D34" s="56" t="s">
        <v>139</v>
      </c>
      <c r="E34" s="116">
        <f>F34/4534.9/8</f>
        <v>0.03000011025601447</v>
      </c>
      <c r="F34" s="116">
        <v>1088.38</v>
      </c>
    </row>
    <row r="35" spans="1:6" ht="0.75" customHeight="1" hidden="1">
      <c r="A35" s="24"/>
      <c r="B35" s="35" t="s">
        <v>11</v>
      </c>
      <c r="C35" s="36"/>
      <c r="D35" s="56" t="s">
        <v>139</v>
      </c>
      <c r="E35" s="61"/>
      <c r="F35" s="58"/>
    </row>
    <row r="36" spans="1:6" ht="42.75">
      <c r="A36" s="26" t="s">
        <v>33</v>
      </c>
      <c r="B36" s="20" t="s">
        <v>23</v>
      </c>
      <c r="C36" s="107" t="s">
        <v>67</v>
      </c>
      <c r="D36" s="56" t="s">
        <v>139</v>
      </c>
      <c r="E36" s="116">
        <f aca="true" t="shared" si="0" ref="E36:E44">F36/4534.9/8</f>
        <v>0.03000011025601447</v>
      </c>
      <c r="F36" s="116">
        <v>1088.38</v>
      </c>
    </row>
    <row r="37" spans="1:6" ht="28.5">
      <c r="A37" s="45" t="s">
        <v>34</v>
      </c>
      <c r="B37" s="38" t="s">
        <v>24</v>
      </c>
      <c r="C37" s="4" t="s">
        <v>112</v>
      </c>
      <c r="D37" s="56" t="s">
        <v>139</v>
      </c>
      <c r="E37" s="116">
        <f t="shared" si="0"/>
        <v>2.8400000551280074</v>
      </c>
      <c r="F37" s="116">
        <v>103032.93</v>
      </c>
    </row>
    <row r="38" spans="1:6" ht="28.5">
      <c r="A38" s="66" t="s">
        <v>35</v>
      </c>
      <c r="B38" s="67" t="s">
        <v>25</v>
      </c>
      <c r="C38" s="130" t="s">
        <v>112</v>
      </c>
      <c r="D38" s="56" t="s">
        <v>139</v>
      </c>
      <c r="E38" s="116">
        <f t="shared" si="0"/>
        <v>1.25</v>
      </c>
      <c r="F38" s="116">
        <v>45349</v>
      </c>
    </row>
    <row r="39" spans="1:6" ht="28.5">
      <c r="A39" s="42" t="s">
        <v>37</v>
      </c>
      <c r="B39" s="19" t="s">
        <v>26</v>
      </c>
      <c r="C39" s="109" t="s">
        <v>67</v>
      </c>
      <c r="D39" s="56" t="s">
        <v>139</v>
      </c>
      <c r="E39" s="116">
        <f t="shared" si="0"/>
        <v>0.7800001102560145</v>
      </c>
      <c r="F39" s="116">
        <v>28297.78</v>
      </c>
    </row>
    <row r="40" spans="1:6" ht="28.5">
      <c r="A40" s="42" t="s">
        <v>39</v>
      </c>
      <c r="B40" s="19" t="s">
        <v>27</v>
      </c>
      <c r="C40" s="109" t="s">
        <v>67</v>
      </c>
      <c r="D40" s="56" t="s">
        <v>139</v>
      </c>
      <c r="E40" s="116">
        <f t="shared" si="0"/>
        <v>0.05</v>
      </c>
      <c r="F40" s="116">
        <v>1813.96</v>
      </c>
    </row>
    <row r="41" spans="1:6" ht="42.75">
      <c r="A41" s="66" t="s">
        <v>40</v>
      </c>
      <c r="B41" s="67" t="s">
        <v>28</v>
      </c>
      <c r="C41" s="108" t="s">
        <v>67</v>
      </c>
      <c r="D41" s="56" t="s">
        <v>139</v>
      </c>
      <c r="E41" s="116">
        <f t="shared" si="0"/>
        <v>0.4699998897439856</v>
      </c>
      <c r="F41" s="116">
        <v>17051.22</v>
      </c>
    </row>
    <row r="42" spans="1:6" ht="57">
      <c r="A42" s="66" t="s">
        <v>42</v>
      </c>
      <c r="B42" s="67" t="s">
        <v>36</v>
      </c>
      <c r="C42" s="132" t="s">
        <v>67</v>
      </c>
      <c r="D42" s="56" t="s">
        <v>139</v>
      </c>
      <c r="E42" s="116">
        <f t="shared" si="0"/>
        <v>0.05</v>
      </c>
      <c r="F42" s="116">
        <v>1813.96</v>
      </c>
    </row>
    <row r="43" spans="1:6" ht="71.25">
      <c r="A43" s="42" t="s">
        <v>44</v>
      </c>
      <c r="B43" s="155" t="s">
        <v>38</v>
      </c>
      <c r="C43" s="111" t="s">
        <v>67</v>
      </c>
      <c r="D43" s="56" t="s">
        <v>139</v>
      </c>
      <c r="E43" s="116">
        <f t="shared" si="0"/>
        <v>0.18000011025601448</v>
      </c>
      <c r="F43" s="116">
        <v>6530.26</v>
      </c>
    </row>
    <row r="44" spans="1:6" ht="28.5">
      <c r="A44" s="42" t="s">
        <v>46</v>
      </c>
      <c r="B44" s="126" t="s">
        <v>140</v>
      </c>
      <c r="C44" s="127" t="s">
        <v>112</v>
      </c>
      <c r="D44" s="115" t="s">
        <v>139</v>
      </c>
      <c r="E44" s="116">
        <f t="shared" si="0"/>
        <v>9.378766896734216</v>
      </c>
      <c r="F44" s="152">
        <v>340254.16</v>
      </c>
    </row>
    <row r="45" spans="1:6" ht="15" customHeight="1">
      <c r="A45" s="125"/>
      <c r="B45" s="170" t="s">
        <v>64</v>
      </c>
      <c r="C45" s="171"/>
      <c r="D45" s="171"/>
      <c r="E45" s="171"/>
      <c r="F45" s="153"/>
    </row>
    <row r="46" spans="1:6" ht="57">
      <c r="A46" s="26" t="s">
        <v>48</v>
      </c>
      <c r="B46" s="52" t="s">
        <v>74</v>
      </c>
      <c r="C46" s="128" t="s">
        <v>112</v>
      </c>
      <c r="D46" s="129" t="s">
        <v>139</v>
      </c>
      <c r="E46" s="116">
        <f>F46/4534.9/8</f>
        <v>2.209999944871993</v>
      </c>
      <c r="F46" s="116">
        <v>80177.03</v>
      </c>
    </row>
    <row r="47" spans="1:6" ht="42.75">
      <c r="A47" s="26" t="s">
        <v>50</v>
      </c>
      <c r="B47" s="20" t="s">
        <v>113</v>
      </c>
      <c r="C47" s="100" t="s">
        <v>69</v>
      </c>
      <c r="D47" s="56" t="s">
        <v>139</v>
      </c>
      <c r="E47" s="116">
        <f>F47/4534.9/8</f>
        <v>0.579972546252398</v>
      </c>
      <c r="F47" s="116">
        <v>21040.94</v>
      </c>
    </row>
    <row r="48" spans="1:6" ht="42.75">
      <c r="A48" s="45" t="s">
        <v>52</v>
      </c>
      <c r="B48" s="38" t="s">
        <v>41</v>
      </c>
      <c r="C48" s="4" t="s">
        <v>68</v>
      </c>
      <c r="D48" s="56" t="s">
        <v>139</v>
      </c>
      <c r="E48" s="56">
        <v>0</v>
      </c>
      <c r="F48" s="116">
        <v>0</v>
      </c>
    </row>
    <row r="49" spans="1:6" ht="42.75">
      <c r="A49" s="66" t="s">
        <v>53</v>
      </c>
      <c r="B49" s="67" t="s">
        <v>43</v>
      </c>
      <c r="C49" s="132" t="s">
        <v>162</v>
      </c>
      <c r="D49" s="56" t="s">
        <v>139</v>
      </c>
      <c r="E49" s="116">
        <f aca="true" t="shared" si="1" ref="E49:E55">F49/4534.9/8</f>
        <v>1.2000000000000002</v>
      </c>
      <c r="F49" s="116">
        <v>43535.04</v>
      </c>
    </row>
    <row r="50" spans="1:6" ht="42.75">
      <c r="A50" s="42" t="s">
        <v>55</v>
      </c>
      <c r="B50" s="19" t="s">
        <v>45</v>
      </c>
      <c r="C50" s="132" t="s">
        <v>162</v>
      </c>
      <c r="D50" s="56" t="s">
        <v>139</v>
      </c>
      <c r="E50" s="116">
        <f t="shared" si="1"/>
        <v>1.2699998897439857</v>
      </c>
      <c r="F50" s="116">
        <v>46074.58</v>
      </c>
    </row>
    <row r="51" spans="1:6" ht="42.75">
      <c r="A51" s="42" t="s">
        <v>57</v>
      </c>
      <c r="B51" s="19" t="s">
        <v>47</v>
      </c>
      <c r="C51" s="132" t="s">
        <v>162</v>
      </c>
      <c r="D51" s="56" t="s">
        <v>139</v>
      </c>
      <c r="E51" s="116">
        <f t="shared" si="1"/>
        <v>0.9500000000000001</v>
      </c>
      <c r="F51" s="116">
        <v>34465.24</v>
      </c>
    </row>
    <row r="52" spans="1:6" ht="42.75">
      <c r="A52" s="42" t="s">
        <v>59</v>
      </c>
      <c r="B52" s="19" t="s">
        <v>49</v>
      </c>
      <c r="C52" s="132" t="s">
        <v>162</v>
      </c>
      <c r="D52" s="56" t="s">
        <v>139</v>
      </c>
      <c r="E52" s="116">
        <f t="shared" si="1"/>
        <v>1.9150000551280073</v>
      </c>
      <c r="F52" s="116">
        <v>69474.67</v>
      </c>
    </row>
    <row r="53" spans="1:6" ht="42.75">
      <c r="A53" s="42" t="s">
        <v>60</v>
      </c>
      <c r="B53" s="19" t="s">
        <v>51</v>
      </c>
      <c r="C53" s="132" t="s">
        <v>162</v>
      </c>
      <c r="D53" s="56" t="s">
        <v>139</v>
      </c>
      <c r="E53" s="116">
        <f t="shared" si="1"/>
        <v>1.4800001102560145</v>
      </c>
      <c r="F53" s="116">
        <v>53693.22</v>
      </c>
    </row>
    <row r="54" spans="1:6" ht="57">
      <c r="A54" s="98" t="s">
        <v>61</v>
      </c>
      <c r="B54" s="20" t="s">
        <v>121</v>
      </c>
      <c r="C54" s="111" t="s">
        <v>68</v>
      </c>
      <c r="D54" s="56" t="s">
        <v>139</v>
      </c>
      <c r="E54" s="116">
        <f t="shared" si="1"/>
        <v>0</v>
      </c>
      <c r="F54" s="116">
        <v>0</v>
      </c>
    </row>
    <row r="55" spans="1:6" ht="85.5">
      <c r="A55" s="26" t="s">
        <v>62</v>
      </c>
      <c r="B55" s="39" t="s">
        <v>122</v>
      </c>
      <c r="C55" s="158" t="s">
        <v>123</v>
      </c>
      <c r="D55" s="56" t="s">
        <v>139</v>
      </c>
      <c r="E55" s="116">
        <f t="shared" si="1"/>
        <v>9.15</v>
      </c>
      <c r="F55" s="116">
        <f>331954.68</f>
        <v>331954.68</v>
      </c>
    </row>
    <row r="56" spans="1:6" ht="15" customHeight="1">
      <c r="A56" s="25"/>
      <c r="B56" s="170" t="s">
        <v>65</v>
      </c>
      <c r="C56" s="171"/>
      <c r="D56" s="171"/>
      <c r="E56" s="171"/>
      <c r="F56" s="153"/>
    </row>
    <row r="57" spans="1:6" ht="42.75">
      <c r="A57" s="26" t="s">
        <v>63</v>
      </c>
      <c r="B57" s="20" t="s">
        <v>54</v>
      </c>
      <c r="C57" s="85" t="s">
        <v>112</v>
      </c>
      <c r="D57" s="56" t="s">
        <v>139</v>
      </c>
      <c r="E57" s="116">
        <f aca="true" t="shared" si="2" ref="E57:E67">F57/4534.9/8</f>
        <v>1.759999944871993</v>
      </c>
      <c r="F57" s="116">
        <v>63851.39</v>
      </c>
    </row>
    <row r="58" spans="1:6" ht="42.75">
      <c r="A58" s="42" t="s">
        <v>75</v>
      </c>
      <c r="B58" s="19" t="s">
        <v>56</v>
      </c>
      <c r="C58" s="112" t="s">
        <v>69</v>
      </c>
      <c r="D58" s="56" t="s">
        <v>139</v>
      </c>
      <c r="E58" s="116">
        <f t="shared" si="2"/>
        <v>0.009999944871992768</v>
      </c>
      <c r="F58" s="116">
        <v>362.79</v>
      </c>
    </row>
    <row r="59" spans="1:6" ht="42.75">
      <c r="A59" s="42" t="s">
        <v>85</v>
      </c>
      <c r="B59" s="19" t="s">
        <v>58</v>
      </c>
      <c r="C59" s="16" t="s">
        <v>112</v>
      </c>
      <c r="D59" s="56" t="s">
        <v>139</v>
      </c>
      <c r="E59" s="116">
        <f t="shared" si="2"/>
        <v>1.7300001102560145</v>
      </c>
      <c r="F59" s="116">
        <f>62763.02</f>
        <v>62763.02</v>
      </c>
    </row>
    <row r="60" spans="1:6" ht="42.75">
      <c r="A60" s="42" t="s">
        <v>86</v>
      </c>
      <c r="B60" s="19" t="s">
        <v>124</v>
      </c>
      <c r="C60" s="124" t="s">
        <v>67</v>
      </c>
      <c r="D60" s="56" t="s">
        <v>139</v>
      </c>
      <c r="E60" s="116">
        <f t="shared" si="2"/>
        <v>0.14000005512800726</v>
      </c>
      <c r="F60" s="116">
        <v>5079.09</v>
      </c>
    </row>
    <row r="61" spans="1:6" ht="42.75">
      <c r="A61" s="45" t="s">
        <v>125</v>
      </c>
      <c r="B61" s="38" t="s">
        <v>126</v>
      </c>
      <c r="C61" s="113" t="s">
        <v>71</v>
      </c>
      <c r="D61" s="56" t="s">
        <v>139</v>
      </c>
      <c r="E61" s="116">
        <f t="shared" si="2"/>
        <v>0.8</v>
      </c>
      <c r="F61" s="116">
        <v>29023.36</v>
      </c>
    </row>
    <row r="62" spans="1:6" ht="31.5">
      <c r="A62" s="26" t="s">
        <v>127</v>
      </c>
      <c r="B62" s="101" t="s">
        <v>30</v>
      </c>
      <c r="C62" s="111" t="s">
        <v>128</v>
      </c>
      <c r="D62" s="56" t="s">
        <v>139</v>
      </c>
      <c r="E62" s="116">
        <f t="shared" si="2"/>
        <v>3.494999889743986</v>
      </c>
      <c r="F62" s="116">
        <v>126795.8</v>
      </c>
    </row>
    <row r="63" spans="1:6" ht="28.5">
      <c r="A63" s="103" t="s">
        <v>129</v>
      </c>
      <c r="B63" s="38" t="s">
        <v>73</v>
      </c>
      <c r="C63" s="114" t="s">
        <v>16</v>
      </c>
      <c r="D63" s="56" t="s">
        <v>139</v>
      </c>
      <c r="E63" s="116">
        <f t="shared" si="2"/>
        <v>0.30000000000000004</v>
      </c>
      <c r="F63" s="116">
        <v>10883.76</v>
      </c>
    </row>
    <row r="64" spans="1:6" ht="14.25">
      <c r="A64" s="87" t="s">
        <v>131</v>
      </c>
      <c r="B64" s="88" t="s">
        <v>130</v>
      </c>
      <c r="C64" s="114" t="s">
        <v>16</v>
      </c>
      <c r="D64" s="56" t="s">
        <v>139</v>
      </c>
      <c r="E64" s="116">
        <f t="shared" si="2"/>
        <v>0.07516979426227702</v>
      </c>
      <c r="F64" s="116">
        <f>1674.02+526.54+526.54</f>
        <v>2727.1</v>
      </c>
    </row>
    <row r="65" spans="1:6" ht="14.25">
      <c r="A65" s="87" t="s">
        <v>142</v>
      </c>
      <c r="B65" s="88" t="s">
        <v>132</v>
      </c>
      <c r="C65" s="114" t="s">
        <v>16</v>
      </c>
      <c r="D65" s="56" t="s">
        <v>139</v>
      </c>
      <c r="E65" s="116">
        <f t="shared" si="2"/>
        <v>0.013695726476879316</v>
      </c>
      <c r="F65" s="116">
        <f>314.53+91.17+91.17</f>
        <v>496.87</v>
      </c>
    </row>
    <row r="66" spans="1:6" ht="14.25">
      <c r="A66" s="87" t="s">
        <v>143</v>
      </c>
      <c r="B66" s="88" t="s">
        <v>141</v>
      </c>
      <c r="C66" s="114" t="s">
        <v>16</v>
      </c>
      <c r="D66" s="56" t="s">
        <v>139</v>
      </c>
      <c r="E66" s="116">
        <f t="shared" si="2"/>
        <v>0.01750038589605063</v>
      </c>
      <c r="F66" s="116">
        <v>634.9</v>
      </c>
    </row>
    <row r="67" spans="1:6" ht="24.75" customHeight="1">
      <c r="A67" s="87" t="s">
        <v>144</v>
      </c>
      <c r="B67" s="88" t="s">
        <v>133</v>
      </c>
      <c r="C67" s="114" t="s">
        <v>16</v>
      </c>
      <c r="D67" s="56" t="s">
        <v>139</v>
      </c>
      <c r="E67" s="116">
        <f t="shared" si="2"/>
        <v>1.245153421244129</v>
      </c>
      <c r="F67" s="116">
        <f>41725.58+7346.51+7346.51-11245.43</f>
        <v>45173.170000000006</v>
      </c>
    </row>
    <row r="68" spans="1:6" ht="31.5" customHeight="1" hidden="1">
      <c r="A68" s="26"/>
      <c r="B68" s="101" t="s">
        <v>145</v>
      </c>
      <c r="C68" s="17"/>
      <c r="D68" s="86"/>
      <c r="E68" s="133"/>
      <c r="F68" s="133">
        <f>F63+F62+F61+F60+F59+F58+F57+F55+F54+F53+F52+F51+F50+F49+F48+F47+F46+F44+F43+F42+F41+F40+F39+F38+F37+F36+F34+F32+F30+F28+F26+F23+F22+F21+F20</f>
        <v>1692016.1699999992</v>
      </c>
    </row>
    <row r="69" spans="1:6" ht="15.75" customHeight="1" hidden="1">
      <c r="A69" s="77"/>
      <c r="B69" s="84"/>
      <c r="C69" s="81"/>
      <c r="D69" s="120"/>
      <c r="E69" s="117"/>
      <c r="F69" s="96"/>
    </row>
    <row r="70" spans="1:6" ht="31.5">
      <c r="A70" s="99"/>
      <c r="B70" s="104" t="s">
        <v>134</v>
      </c>
      <c r="C70" s="105"/>
      <c r="D70" s="56"/>
      <c r="E70" s="102"/>
      <c r="F70" s="102">
        <f>F68+F67+F66+F65+F64</f>
        <v>1741048.2099999993</v>
      </c>
    </row>
  </sheetData>
  <sheetProtection/>
  <mergeCells count="3">
    <mergeCell ref="B45:E45"/>
    <mergeCell ref="B24:E24"/>
    <mergeCell ref="B56:E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6"/>
  <sheetViews>
    <sheetView zoomScalePageLayoutView="0" workbookViewId="0" topLeftCell="B1">
      <selection activeCell="G45" sqref="G45"/>
    </sheetView>
  </sheetViews>
  <sheetFormatPr defaultColWidth="8.8515625" defaultRowHeight="12"/>
  <cols>
    <col min="1" max="1" width="0" style="1" hidden="1" customWidth="1"/>
    <col min="2" max="2" width="5.57421875" style="21" customWidth="1"/>
    <col min="3" max="3" width="48.7109375" style="1" customWidth="1"/>
    <col min="4" max="4" width="14.8515625" style="2" customWidth="1"/>
    <col min="5" max="5" width="12.00390625" style="1" customWidth="1"/>
    <col min="6" max="6" width="14.57421875" style="1" customWidth="1"/>
    <col min="7" max="7" width="15.140625" style="1" customWidth="1"/>
    <col min="8" max="8" width="13.421875" style="1" customWidth="1"/>
    <col min="9" max="9" width="14.00390625" style="1" customWidth="1"/>
    <col min="10" max="16384" width="8.8515625" style="1" customWidth="1"/>
  </cols>
  <sheetData>
    <row r="1" ht="15">
      <c r="D1" s="27"/>
    </row>
    <row r="2" spans="4:5" ht="15">
      <c r="D2" s="27"/>
      <c r="E2" s="46"/>
    </row>
    <row r="3" spans="4:5" ht="15">
      <c r="D3" s="27"/>
      <c r="E3" s="47"/>
    </row>
    <row r="4" spans="3:6" ht="15">
      <c r="C4" s="1" t="s">
        <v>146</v>
      </c>
      <c r="D4" s="27"/>
      <c r="E4" s="27"/>
      <c r="F4" s="46"/>
    </row>
    <row r="5" spans="4:6" ht="15">
      <c r="D5" s="27"/>
      <c r="E5" s="27"/>
      <c r="F5" s="46"/>
    </row>
    <row r="6" spans="2:4" ht="18.75">
      <c r="B6" s="47"/>
      <c r="C6" s="157" t="s">
        <v>147</v>
      </c>
      <c r="D6" s="142"/>
    </row>
    <row r="10" spans="2:7" ht="71.25">
      <c r="B10" s="121" t="s">
        <v>0</v>
      </c>
      <c r="C10" s="85" t="s">
        <v>88</v>
      </c>
      <c r="D10" s="56" t="s">
        <v>89</v>
      </c>
      <c r="E10" s="56" t="s">
        <v>138</v>
      </c>
      <c r="F10" s="56" t="s">
        <v>90</v>
      </c>
      <c r="G10" s="56" t="s">
        <v>135</v>
      </c>
    </row>
    <row r="11" spans="2:7" ht="15">
      <c r="B11" s="121" t="s">
        <v>93</v>
      </c>
      <c r="C11" s="85" t="s">
        <v>94</v>
      </c>
      <c r="D11" s="56" t="s">
        <v>95</v>
      </c>
      <c r="E11" s="56" t="s">
        <v>139</v>
      </c>
      <c r="F11" s="116">
        <v>0.45</v>
      </c>
      <c r="G11" s="116">
        <v>38719.81</v>
      </c>
    </row>
    <row r="12" spans="2:8" ht="57.75">
      <c r="B12" s="121" t="s">
        <v>96</v>
      </c>
      <c r="C12" s="122" t="s">
        <v>97</v>
      </c>
      <c r="D12" s="56" t="s">
        <v>95</v>
      </c>
      <c r="E12" s="56" t="s">
        <v>139</v>
      </c>
      <c r="F12" s="116">
        <v>0.17</v>
      </c>
      <c r="G12" s="116">
        <v>14791.84</v>
      </c>
      <c r="H12" s="154"/>
    </row>
    <row r="13" spans="2:7" ht="15">
      <c r="B13" s="121" t="s">
        <v>98</v>
      </c>
      <c r="C13" s="122" t="s">
        <v>99</v>
      </c>
      <c r="D13" s="56" t="s">
        <v>95</v>
      </c>
      <c r="E13" s="56" t="s">
        <v>139</v>
      </c>
      <c r="F13" s="116">
        <v>1.5</v>
      </c>
      <c r="G13" s="116">
        <v>130081.15</v>
      </c>
    </row>
    <row r="14" spans="2:7" ht="42.75">
      <c r="B14" s="121" t="s">
        <v>100</v>
      </c>
      <c r="C14" s="122" t="s">
        <v>101</v>
      </c>
      <c r="D14" s="56" t="s">
        <v>95</v>
      </c>
      <c r="E14" s="56" t="s">
        <v>139</v>
      </c>
      <c r="F14" s="116">
        <v>1.25</v>
      </c>
      <c r="G14" s="116">
        <v>108328.45</v>
      </c>
    </row>
    <row r="15" spans="2:7" ht="15">
      <c r="B15" s="30"/>
      <c r="C15" s="168" t="s">
        <v>6</v>
      </c>
      <c r="D15" s="169"/>
      <c r="E15" s="169"/>
      <c r="F15" s="169"/>
      <c r="G15" s="151"/>
    </row>
    <row r="16" spans="2:7" ht="15">
      <c r="B16" s="37"/>
      <c r="C16" s="75"/>
      <c r="D16" s="76"/>
      <c r="E16" s="76"/>
      <c r="F16" s="74"/>
      <c r="G16" s="74"/>
    </row>
    <row r="17" spans="2:8" ht="31.5">
      <c r="B17" s="31" t="s">
        <v>102</v>
      </c>
      <c r="C17" s="55" t="s">
        <v>19</v>
      </c>
      <c r="D17" s="123" t="s">
        <v>67</v>
      </c>
      <c r="E17" s="56" t="s">
        <v>139</v>
      </c>
      <c r="F17" s="116">
        <v>0.55</v>
      </c>
      <c r="G17" s="116">
        <v>47855.94</v>
      </c>
      <c r="H17" s="154"/>
    </row>
    <row r="18" spans="2:7" ht="15">
      <c r="B18" s="33" t="s">
        <v>103</v>
      </c>
      <c r="C18" s="12" t="s">
        <v>20</v>
      </c>
      <c r="D18" s="123" t="s">
        <v>67</v>
      </c>
      <c r="E18" s="56" t="s">
        <v>139</v>
      </c>
      <c r="F18" s="116">
        <v>0.19</v>
      </c>
      <c r="G18" s="116">
        <v>16532.05</v>
      </c>
    </row>
    <row r="19" spans="2:7" ht="28.5">
      <c r="B19" s="66" t="s">
        <v>104</v>
      </c>
      <c r="C19" s="67" t="s">
        <v>21</v>
      </c>
      <c r="D19" s="108" t="s">
        <v>67</v>
      </c>
      <c r="E19" s="56" t="s">
        <v>139</v>
      </c>
      <c r="F19" s="116">
        <v>0.16</v>
      </c>
      <c r="G19" s="116">
        <v>13921.73</v>
      </c>
    </row>
    <row r="20" spans="2:7" ht="28.5">
      <c r="B20" s="42" t="s">
        <v>105</v>
      </c>
      <c r="C20" s="19" t="s">
        <v>22</v>
      </c>
      <c r="D20" s="107" t="s">
        <v>67</v>
      </c>
      <c r="E20" s="56" t="s">
        <v>139</v>
      </c>
      <c r="F20" s="116">
        <v>0.08</v>
      </c>
      <c r="G20" s="116">
        <v>6960.86</v>
      </c>
    </row>
    <row r="21" spans="2:7" ht="28.5">
      <c r="B21" s="51" t="s">
        <v>32</v>
      </c>
      <c r="C21" s="52" t="s">
        <v>31</v>
      </c>
      <c r="D21" s="109" t="s">
        <v>67</v>
      </c>
      <c r="E21" s="56" t="s">
        <v>139</v>
      </c>
      <c r="F21" s="116">
        <v>0.03</v>
      </c>
      <c r="G21" s="116">
        <v>2610.32</v>
      </c>
    </row>
    <row r="22" spans="2:7" ht="42.75">
      <c r="B22" s="26" t="s">
        <v>33</v>
      </c>
      <c r="C22" s="20" t="s">
        <v>23</v>
      </c>
      <c r="D22" s="107" t="s">
        <v>67</v>
      </c>
      <c r="E22" s="56" t="s">
        <v>139</v>
      </c>
      <c r="F22" s="116">
        <v>0.03</v>
      </c>
      <c r="G22" s="116">
        <v>2610.32</v>
      </c>
    </row>
    <row r="23" spans="2:7" ht="28.5">
      <c r="B23" s="45" t="s">
        <v>34</v>
      </c>
      <c r="C23" s="38" t="s">
        <v>24</v>
      </c>
      <c r="D23" s="4" t="s">
        <v>112</v>
      </c>
      <c r="E23" s="56" t="s">
        <v>139</v>
      </c>
      <c r="F23" s="116">
        <v>2.38</v>
      </c>
      <c r="G23" s="116">
        <v>207085.7</v>
      </c>
    </row>
    <row r="24" spans="2:7" ht="28.5">
      <c r="B24" s="26" t="s">
        <v>35</v>
      </c>
      <c r="C24" s="20" t="s">
        <v>25</v>
      </c>
      <c r="D24" s="85" t="s">
        <v>112</v>
      </c>
      <c r="E24" s="56" t="s">
        <v>139</v>
      </c>
      <c r="F24" s="116">
        <v>1.17</v>
      </c>
      <c r="G24" s="116">
        <v>101802.64</v>
      </c>
    </row>
    <row r="25" spans="2:7" ht="28.5">
      <c r="B25" s="42" t="s">
        <v>37</v>
      </c>
      <c r="C25" s="19" t="s">
        <v>26</v>
      </c>
      <c r="D25" s="109" t="s">
        <v>67</v>
      </c>
      <c r="E25" s="56" t="s">
        <v>139</v>
      </c>
      <c r="F25" s="116">
        <v>0.73</v>
      </c>
      <c r="G25" s="116">
        <v>63517.88</v>
      </c>
    </row>
    <row r="26" spans="2:7" ht="28.5">
      <c r="B26" s="42" t="s">
        <v>39</v>
      </c>
      <c r="C26" s="19" t="s">
        <v>27</v>
      </c>
      <c r="D26" s="109" t="s">
        <v>67</v>
      </c>
      <c r="E26" s="56" t="s">
        <v>139</v>
      </c>
      <c r="F26" s="116">
        <v>0.04</v>
      </c>
      <c r="G26" s="116">
        <v>3480.43</v>
      </c>
    </row>
    <row r="27" spans="2:7" ht="28.5">
      <c r="B27" s="66" t="s">
        <v>40</v>
      </c>
      <c r="C27" s="67" t="s">
        <v>28</v>
      </c>
      <c r="D27" s="108" t="s">
        <v>67</v>
      </c>
      <c r="E27" s="56" t="s">
        <v>139</v>
      </c>
      <c r="F27" s="116">
        <v>0.43</v>
      </c>
      <c r="G27" s="116">
        <v>37414.64</v>
      </c>
    </row>
    <row r="28" spans="2:7" ht="42.75">
      <c r="B28" s="66" t="s">
        <v>42</v>
      </c>
      <c r="C28" s="67" t="s">
        <v>36</v>
      </c>
      <c r="D28" s="132" t="s">
        <v>67</v>
      </c>
      <c r="E28" s="56" t="s">
        <v>139</v>
      </c>
      <c r="F28" s="116">
        <v>0.04</v>
      </c>
      <c r="G28" s="116">
        <v>3480.43</v>
      </c>
    </row>
    <row r="29" spans="2:7" ht="57">
      <c r="B29" s="42" t="s">
        <v>44</v>
      </c>
      <c r="C29" s="19" t="s">
        <v>38</v>
      </c>
      <c r="D29" s="110" t="s">
        <v>67</v>
      </c>
      <c r="E29" s="56" t="s">
        <v>139</v>
      </c>
      <c r="F29" s="116">
        <v>0.17</v>
      </c>
      <c r="G29" s="116">
        <v>14791.84</v>
      </c>
    </row>
    <row r="30" spans="2:7" ht="15">
      <c r="B30" s="42" t="s">
        <v>46</v>
      </c>
      <c r="C30" s="126" t="s">
        <v>140</v>
      </c>
      <c r="D30" s="127" t="s">
        <v>112</v>
      </c>
      <c r="E30" s="115" t="s">
        <v>139</v>
      </c>
      <c r="F30" s="116">
        <v>10.6</v>
      </c>
      <c r="G30" s="152">
        <v>922386.15</v>
      </c>
    </row>
    <row r="31" spans="2:7" ht="15">
      <c r="B31" s="125"/>
      <c r="C31" s="170" t="s">
        <v>64</v>
      </c>
      <c r="D31" s="171"/>
      <c r="E31" s="171"/>
      <c r="F31" s="171"/>
      <c r="G31" s="153"/>
    </row>
    <row r="32" spans="2:7" ht="42.75">
      <c r="B32" s="26" t="s">
        <v>48</v>
      </c>
      <c r="C32" s="52" t="s">
        <v>74</v>
      </c>
      <c r="D32" s="128" t="s">
        <v>112</v>
      </c>
      <c r="E32" s="129" t="s">
        <v>139</v>
      </c>
      <c r="F32" s="116">
        <v>2.11</v>
      </c>
      <c r="G32" s="116">
        <v>184027.84</v>
      </c>
    </row>
    <row r="33" spans="2:7" ht="42.75">
      <c r="B33" s="26" t="s">
        <v>50</v>
      </c>
      <c r="C33" s="20" t="s">
        <v>113</v>
      </c>
      <c r="D33" s="100" t="s">
        <v>69</v>
      </c>
      <c r="E33" s="56" t="s">
        <v>139</v>
      </c>
      <c r="F33" s="116">
        <v>0.54</v>
      </c>
      <c r="G33" s="116">
        <v>46985.83</v>
      </c>
    </row>
    <row r="34" spans="2:7" ht="28.5">
      <c r="B34" s="45" t="s">
        <v>52</v>
      </c>
      <c r="C34" s="38" t="s">
        <v>41</v>
      </c>
      <c r="D34" s="4" t="s">
        <v>68</v>
      </c>
      <c r="E34" s="56" t="s">
        <v>139</v>
      </c>
      <c r="F34" s="116">
        <f>G34/7250.9/12</f>
        <v>0</v>
      </c>
      <c r="G34" s="116">
        <v>0</v>
      </c>
    </row>
    <row r="35" spans="2:8" ht="42.75">
      <c r="B35" s="66" t="s">
        <v>53</v>
      </c>
      <c r="C35" s="67" t="s">
        <v>43</v>
      </c>
      <c r="D35" s="132" t="s">
        <v>162</v>
      </c>
      <c r="E35" s="56" t="s">
        <v>139</v>
      </c>
      <c r="F35" s="116">
        <v>1.12</v>
      </c>
      <c r="G35" s="116">
        <v>97452.1</v>
      </c>
      <c r="H35" s="154"/>
    </row>
    <row r="36" spans="2:7" ht="28.5">
      <c r="B36" s="42" t="s">
        <v>55</v>
      </c>
      <c r="C36" s="19" t="s">
        <v>45</v>
      </c>
      <c r="D36" s="132" t="s">
        <v>162</v>
      </c>
      <c r="E36" s="56" t="s">
        <v>139</v>
      </c>
      <c r="F36" s="116">
        <v>1.18</v>
      </c>
      <c r="G36" s="116">
        <v>102672.74</v>
      </c>
    </row>
    <row r="37" spans="2:7" ht="28.5">
      <c r="B37" s="42" t="s">
        <v>57</v>
      </c>
      <c r="C37" s="19" t="s">
        <v>47</v>
      </c>
      <c r="D37" s="132" t="s">
        <v>162</v>
      </c>
      <c r="E37" s="56" t="s">
        <v>139</v>
      </c>
      <c r="F37" s="116">
        <v>0.88</v>
      </c>
      <c r="G37" s="116">
        <v>76569.5</v>
      </c>
    </row>
    <row r="38" spans="2:7" ht="28.5">
      <c r="B38" s="42" t="s">
        <v>59</v>
      </c>
      <c r="C38" s="19" t="s">
        <v>49</v>
      </c>
      <c r="D38" s="132" t="s">
        <v>162</v>
      </c>
      <c r="E38" s="56" t="s">
        <v>139</v>
      </c>
      <c r="F38" s="116">
        <v>1.75</v>
      </c>
      <c r="G38" s="116">
        <v>152703.95</v>
      </c>
    </row>
    <row r="39" spans="2:7" ht="28.5">
      <c r="B39" s="42" t="s">
        <v>60</v>
      </c>
      <c r="C39" s="19" t="s">
        <v>51</v>
      </c>
      <c r="D39" s="132" t="s">
        <v>162</v>
      </c>
      <c r="E39" s="56" t="s">
        <v>139</v>
      </c>
      <c r="F39" s="116">
        <v>1.38</v>
      </c>
      <c r="G39" s="116">
        <v>120074.9</v>
      </c>
    </row>
    <row r="40" spans="2:7" ht="42.75">
      <c r="B40" s="98" t="s">
        <v>61</v>
      </c>
      <c r="C40" s="20" t="s">
        <v>121</v>
      </c>
      <c r="D40" s="111" t="s">
        <v>68</v>
      </c>
      <c r="E40" s="56" t="s">
        <v>139</v>
      </c>
      <c r="F40" s="116">
        <v>0.28</v>
      </c>
      <c r="G40" s="116">
        <v>24363.02</v>
      </c>
    </row>
    <row r="41" spans="2:7" ht="85.5">
      <c r="B41" s="26" t="s">
        <v>62</v>
      </c>
      <c r="C41" s="39" t="s">
        <v>122</v>
      </c>
      <c r="D41" s="158" t="s">
        <v>123</v>
      </c>
      <c r="E41" s="56" t="s">
        <v>139</v>
      </c>
      <c r="F41" s="116">
        <v>8.54</v>
      </c>
      <c r="G41" s="116">
        <v>743292.27</v>
      </c>
    </row>
    <row r="42" spans="2:7" ht="15">
      <c r="B42" s="25"/>
      <c r="C42" s="170" t="s">
        <v>65</v>
      </c>
      <c r="D42" s="171"/>
      <c r="E42" s="171"/>
      <c r="F42" s="171"/>
      <c r="G42" s="153"/>
    </row>
    <row r="43" spans="2:7" ht="28.5">
      <c r="B43" s="26" t="s">
        <v>63</v>
      </c>
      <c r="C43" s="20" t="s">
        <v>54</v>
      </c>
      <c r="D43" s="85" t="s">
        <v>112</v>
      </c>
      <c r="E43" s="56" t="s">
        <v>139</v>
      </c>
      <c r="F43" s="116">
        <v>1.51</v>
      </c>
      <c r="G43" s="116">
        <v>131386.31</v>
      </c>
    </row>
    <row r="44" spans="2:7" ht="42.75">
      <c r="B44" s="42" t="s">
        <v>85</v>
      </c>
      <c r="C44" s="19" t="s">
        <v>58</v>
      </c>
      <c r="D44" s="85" t="s">
        <v>112</v>
      </c>
      <c r="E44" s="56" t="s">
        <v>139</v>
      </c>
      <c r="F44" s="116">
        <v>1.58</v>
      </c>
      <c r="G44" s="116">
        <f>137477.06</f>
        <v>137477.06</v>
      </c>
    </row>
    <row r="45" spans="2:8" ht="42.75">
      <c r="B45" s="42" t="s">
        <v>86</v>
      </c>
      <c r="C45" s="19" t="s">
        <v>124</v>
      </c>
      <c r="D45" s="124" t="s">
        <v>67</v>
      </c>
      <c r="E45" s="56" t="s">
        <v>139</v>
      </c>
      <c r="F45" s="116">
        <f>H45/7250.9/12</f>
        <v>0</v>
      </c>
      <c r="G45" s="116">
        <v>11311.4</v>
      </c>
      <c r="H45" s="163"/>
    </row>
    <row r="46" spans="2:8" ht="28.5">
      <c r="B46" s="42" t="s">
        <v>75</v>
      </c>
      <c r="C46" s="19" t="s">
        <v>56</v>
      </c>
      <c r="D46" s="112" t="s">
        <v>69</v>
      </c>
      <c r="E46" s="56" t="s">
        <v>139</v>
      </c>
      <c r="F46" s="116">
        <f>H46/7250.9/12</f>
        <v>0</v>
      </c>
      <c r="G46" s="116">
        <v>870.11</v>
      </c>
      <c r="H46" s="163"/>
    </row>
    <row r="47" spans="2:7" ht="42.75">
      <c r="B47" s="45" t="s">
        <v>125</v>
      </c>
      <c r="C47" s="38" t="s">
        <v>126</v>
      </c>
      <c r="D47" s="113" t="s">
        <v>71</v>
      </c>
      <c r="E47" s="56" t="s">
        <v>139</v>
      </c>
      <c r="F47" s="116">
        <v>0.74</v>
      </c>
      <c r="G47" s="116">
        <v>64387.99</v>
      </c>
    </row>
    <row r="48" spans="2:7" ht="31.5">
      <c r="B48" s="26" t="s">
        <v>127</v>
      </c>
      <c r="C48" s="101" t="s">
        <v>30</v>
      </c>
      <c r="D48" s="111" t="s">
        <v>128</v>
      </c>
      <c r="E48" s="56" t="s">
        <v>139</v>
      </c>
      <c r="F48" s="116">
        <v>3.36</v>
      </c>
      <c r="G48" s="116">
        <v>292791.34</v>
      </c>
    </row>
    <row r="49" spans="2:7" ht="28.5">
      <c r="B49" s="26" t="s">
        <v>129</v>
      </c>
      <c r="C49" s="160" t="s">
        <v>73</v>
      </c>
      <c r="D49" s="159" t="s">
        <v>16</v>
      </c>
      <c r="E49" s="56" t="s">
        <v>139</v>
      </c>
      <c r="F49" s="116">
        <v>0.28</v>
      </c>
      <c r="G49" s="116">
        <v>24363.02</v>
      </c>
    </row>
    <row r="50" spans="2:7" ht="15">
      <c r="B50" s="87" t="s">
        <v>131</v>
      </c>
      <c r="C50" s="88" t="s">
        <v>130</v>
      </c>
      <c r="D50" s="114" t="s">
        <v>16</v>
      </c>
      <c r="E50" s="56" t="s">
        <v>139</v>
      </c>
      <c r="F50" s="116">
        <v>0.08</v>
      </c>
      <c r="G50" s="116">
        <f>1407.55+1407.55+4022.35</f>
        <v>6837.45</v>
      </c>
    </row>
    <row r="51" spans="2:7" ht="15">
      <c r="B51" s="87" t="s">
        <v>142</v>
      </c>
      <c r="C51" s="88" t="s">
        <v>132</v>
      </c>
      <c r="D51" s="114" t="s">
        <v>16</v>
      </c>
      <c r="E51" s="56" t="s">
        <v>139</v>
      </c>
      <c r="F51" s="116">
        <v>0.01</v>
      </c>
      <c r="G51" s="116">
        <f>243.65+243.65+747.08</f>
        <v>1234.38</v>
      </c>
    </row>
    <row r="52" spans="2:7" ht="15">
      <c r="B52" s="87" t="s">
        <v>143</v>
      </c>
      <c r="C52" s="88" t="s">
        <v>141</v>
      </c>
      <c r="D52" s="114" t="s">
        <v>16</v>
      </c>
      <c r="E52" s="56" t="s">
        <v>139</v>
      </c>
      <c r="F52" s="116">
        <v>0.01</v>
      </c>
      <c r="G52" s="116">
        <v>870.59</v>
      </c>
    </row>
    <row r="53" spans="2:7" ht="14.25" customHeight="1">
      <c r="B53" s="87" t="s">
        <v>144</v>
      </c>
      <c r="C53" s="88" t="s">
        <v>133</v>
      </c>
      <c r="D53" s="114" t="s">
        <v>16</v>
      </c>
      <c r="E53" s="56" t="s">
        <v>139</v>
      </c>
      <c r="F53" s="116">
        <v>0.68</v>
      </c>
      <c r="G53" s="116">
        <f>31323.87+11746.44+11128.99+5223.38</f>
        <v>59422.67999999999</v>
      </c>
    </row>
    <row r="54" spans="2:7" ht="31.5" hidden="1">
      <c r="B54" s="26"/>
      <c r="C54" s="101" t="s">
        <v>145</v>
      </c>
      <c r="D54" s="17"/>
      <c r="E54" s="86"/>
      <c r="F54" s="133"/>
      <c r="G54" s="133" t="e">
        <f>G49+G48+G47+#REF!+G44+#REF!+G43+G41+G40+G39+G38+G37+G36+G35+G34+G33+G32+G30+G29+G28+G27+G26+G25+G24+G23+G22+G21+G20+G19+G18+G17+G14+G13+G12+G11</f>
        <v>#REF!</v>
      </c>
    </row>
    <row r="55" spans="2:7" ht="15.75" hidden="1">
      <c r="B55" s="77"/>
      <c r="C55" s="84"/>
      <c r="D55" s="81"/>
      <c r="E55" s="120"/>
      <c r="F55" s="117"/>
      <c r="G55" s="96"/>
    </row>
    <row r="56" spans="2:7" ht="31.5">
      <c r="B56" s="99"/>
      <c r="C56" s="104" t="s">
        <v>134</v>
      </c>
      <c r="D56" s="105"/>
      <c r="E56" s="56"/>
      <c r="F56" s="102"/>
      <c r="G56" s="102">
        <f>SUM(G11:G53)</f>
        <v>4015466.6600000006</v>
      </c>
    </row>
  </sheetData>
  <sheetProtection/>
  <mergeCells count="3">
    <mergeCell ref="C15:F15"/>
    <mergeCell ref="C31:F31"/>
    <mergeCell ref="C42:F42"/>
  </mergeCells>
  <printOptions/>
  <pageMargins left="0.5118110236220472" right="0.5118110236220472" top="0.2755905511811024" bottom="0.275590551181102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B1">
      <selection activeCell="C24" sqref="C24"/>
    </sheetView>
  </sheetViews>
  <sheetFormatPr defaultColWidth="8.8515625" defaultRowHeight="12"/>
  <cols>
    <col min="1" max="1" width="0" style="1" hidden="1" customWidth="1"/>
    <col min="2" max="2" width="5.57421875" style="21" customWidth="1"/>
    <col min="3" max="3" width="48.7109375" style="1" customWidth="1"/>
    <col min="4" max="4" width="14.8515625" style="2" customWidth="1"/>
    <col min="5" max="5" width="12.00390625" style="1" customWidth="1"/>
    <col min="6" max="6" width="11.7109375" style="1" customWidth="1"/>
    <col min="7" max="7" width="13.8515625" style="1" customWidth="1"/>
    <col min="8" max="8" width="10.8515625" style="1" bestFit="1" customWidth="1"/>
    <col min="9" max="16384" width="8.8515625" style="1" customWidth="1"/>
  </cols>
  <sheetData>
    <row r="1" ht="15">
      <c r="D1" s="27"/>
    </row>
    <row r="2" spans="4:5" ht="15">
      <c r="D2" s="27"/>
      <c r="E2" s="46"/>
    </row>
    <row r="3" spans="3:6" ht="15">
      <c r="C3" s="1" t="s">
        <v>146</v>
      </c>
      <c r="D3" s="27"/>
      <c r="E3" s="27"/>
      <c r="F3" s="46"/>
    </row>
    <row r="4" spans="4:6" ht="15">
      <c r="D4" s="27"/>
      <c r="E4" s="27"/>
      <c r="F4" s="46"/>
    </row>
    <row r="5" spans="2:4" ht="18.75">
      <c r="B5" s="47"/>
      <c r="C5" s="157" t="s">
        <v>148</v>
      </c>
      <c r="D5" s="142"/>
    </row>
    <row r="6" spans="2:4" ht="15">
      <c r="B6" s="47"/>
      <c r="D6" s="1"/>
    </row>
    <row r="7" spans="2:4" ht="15">
      <c r="B7" s="47"/>
      <c r="D7" s="1"/>
    </row>
    <row r="8" spans="2:4" ht="15">
      <c r="B8" s="47"/>
      <c r="D8" s="27"/>
    </row>
    <row r="9" spans="2:4" ht="15">
      <c r="B9" s="47"/>
      <c r="C9" s="50"/>
      <c r="D9" s="27"/>
    </row>
    <row r="10" spans="2:7" ht="85.5">
      <c r="B10" s="121" t="s">
        <v>0</v>
      </c>
      <c r="C10" s="85" t="s">
        <v>88</v>
      </c>
      <c r="D10" s="56" t="s">
        <v>89</v>
      </c>
      <c r="E10" s="56" t="s">
        <v>138</v>
      </c>
      <c r="F10" s="56" t="s">
        <v>90</v>
      </c>
      <c r="G10" s="56" t="s">
        <v>135</v>
      </c>
    </row>
    <row r="11" spans="2:8" ht="16.5" customHeight="1">
      <c r="B11" s="121" t="s">
        <v>93</v>
      </c>
      <c r="C11" s="85" t="s">
        <v>94</v>
      </c>
      <c r="D11" s="56" t="s">
        <v>95</v>
      </c>
      <c r="E11" s="56" t="s">
        <v>139</v>
      </c>
      <c r="F11" s="116">
        <v>0.45</v>
      </c>
      <c r="G11" s="116">
        <v>15363.18</v>
      </c>
      <c r="H11" s="154"/>
    </row>
    <row r="12" spans="2:7" ht="30.75" customHeight="1">
      <c r="B12" s="121" t="s">
        <v>96</v>
      </c>
      <c r="C12" s="122" t="s">
        <v>97</v>
      </c>
      <c r="D12" s="56" t="s">
        <v>95</v>
      </c>
      <c r="E12" s="56" t="s">
        <v>139</v>
      </c>
      <c r="F12" s="116">
        <v>0.17</v>
      </c>
      <c r="G12" s="116">
        <v>5869.08</v>
      </c>
    </row>
    <row r="13" spans="2:7" ht="30.75" customHeight="1">
      <c r="B13" s="121" t="s">
        <v>98</v>
      </c>
      <c r="C13" s="122" t="s">
        <v>99</v>
      </c>
      <c r="D13" s="56" t="s">
        <v>95</v>
      </c>
      <c r="E13" s="56" t="s">
        <v>139</v>
      </c>
      <c r="F13" s="116">
        <v>1.5</v>
      </c>
      <c r="G13" s="116">
        <v>51613.38</v>
      </c>
    </row>
    <row r="14" spans="2:7" ht="30.75" customHeight="1" thickBot="1">
      <c r="B14" s="121" t="s">
        <v>100</v>
      </c>
      <c r="C14" s="122" t="s">
        <v>101</v>
      </c>
      <c r="D14" s="56" t="s">
        <v>95</v>
      </c>
      <c r="E14" s="56" t="s">
        <v>139</v>
      </c>
      <c r="F14" s="116">
        <v>1.25</v>
      </c>
      <c r="G14" s="116">
        <v>42982.38</v>
      </c>
    </row>
    <row r="15" spans="1:7" s="2" customFormat="1" ht="36.75" customHeight="1" thickBot="1">
      <c r="A15" s="29"/>
      <c r="B15" s="30"/>
      <c r="C15" s="168" t="s">
        <v>6</v>
      </c>
      <c r="D15" s="169"/>
      <c r="E15" s="169"/>
      <c r="F15" s="169"/>
      <c r="G15" s="151"/>
    </row>
    <row r="16" spans="1:7" s="2" customFormat="1" ht="24.75" customHeight="1" hidden="1">
      <c r="A16" s="3"/>
      <c r="B16" s="37"/>
      <c r="C16" s="75"/>
      <c r="D16" s="76"/>
      <c r="E16" s="76"/>
      <c r="F16" s="74"/>
      <c r="G16" s="74"/>
    </row>
    <row r="17" spans="1:7" s="2" customFormat="1" ht="39.75" customHeight="1">
      <c r="A17" s="3"/>
      <c r="B17" s="31" t="s">
        <v>102</v>
      </c>
      <c r="C17" s="55" t="s">
        <v>19</v>
      </c>
      <c r="D17" s="123" t="s">
        <v>67</v>
      </c>
      <c r="E17" s="56" t="s">
        <v>139</v>
      </c>
      <c r="F17" s="116">
        <v>0.55</v>
      </c>
      <c r="G17" s="116">
        <v>18988.2</v>
      </c>
    </row>
    <row r="18" spans="1:7" s="2" customFormat="1" ht="48.75" customHeight="1">
      <c r="A18" s="3"/>
      <c r="B18" s="33" t="s">
        <v>103</v>
      </c>
      <c r="C18" s="12" t="s">
        <v>20</v>
      </c>
      <c r="D18" s="123" t="s">
        <v>67</v>
      </c>
      <c r="E18" s="56" t="s">
        <v>139</v>
      </c>
      <c r="F18" s="116">
        <v>0.19</v>
      </c>
      <c r="G18" s="116">
        <v>6559.56</v>
      </c>
    </row>
    <row r="19" spans="1:7" s="2" customFormat="1" ht="19.5" customHeight="1">
      <c r="A19" s="3"/>
      <c r="B19" s="66" t="s">
        <v>104</v>
      </c>
      <c r="C19" s="67" t="s">
        <v>21</v>
      </c>
      <c r="D19" s="108" t="s">
        <v>67</v>
      </c>
      <c r="E19" s="56" t="s">
        <v>139</v>
      </c>
      <c r="F19" s="116">
        <f aca="true" t="shared" si="0" ref="F19:F29">G19/2877/12</f>
        <v>0.16</v>
      </c>
      <c r="G19" s="116">
        <v>5523.84</v>
      </c>
    </row>
    <row r="20" spans="2:7" ht="28.5">
      <c r="B20" s="42" t="s">
        <v>105</v>
      </c>
      <c r="C20" s="19" t="s">
        <v>22</v>
      </c>
      <c r="D20" s="107" t="s">
        <v>67</v>
      </c>
      <c r="E20" s="56" t="s">
        <v>139</v>
      </c>
      <c r="F20" s="116">
        <f t="shared" si="0"/>
        <v>0.08</v>
      </c>
      <c r="G20" s="116">
        <v>2761.92</v>
      </c>
    </row>
    <row r="21" spans="2:7" ht="36" customHeight="1">
      <c r="B21" s="51" t="s">
        <v>32</v>
      </c>
      <c r="C21" s="52" t="s">
        <v>31</v>
      </c>
      <c r="D21" s="109" t="s">
        <v>67</v>
      </c>
      <c r="E21" s="56" t="s">
        <v>139</v>
      </c>
      <c r="F21" s="116">
        <f t="shared" si="0"/>
        <v>0.03</v>
      </c>
      <c r="G21" s="116">
        <v>1035.72</v>
      </c>
    </row>
    <row r="22" spans="2:7" ht="72" customHeight="1">
      <c r="B22" s="26" t="s">
        <v>33</v>
      </c>
      <c r="C22" s="20" t="s">
        <v>23</v>
      </c>
      <c r="D22" s="107" t="s">
        <v>67</v>
      </c>
      <c r="E22" s="56" t="s">
        <v>139</v>
      </c>
      <c r="F22" s="116">
        <f t="shared" si="0"/>
        <v>0.03</v>
      </c>
      <c r="G22" s="116">
        <v>1035.72</v>
      </c>
    </row>
    <row r="23" spans="2:7" ht="28.5">
      <c r="B23" s="45" t="s">
        <v>34</v>
      </c>
      <c r="C23" s="38" t="s">
        <v>24</v>
      </c>
      <c r="D23" s="4" t="s">
        <v>112</v>
      </c>
      <c r="E23" s="56" t="s">
        <v>139</v>
      </c>
      <c r="F23" s="116">
        <f t="shared" si="0"/>
        <v>2.38</v>
      </c>
      <c r="G23" s="116">
        <v>82167.12</v>
      </c>
    </row>
    <row r="24" spans="1:7" ht="38.25" customHeight="1">
      <c r="A24" s="2"/>
      <c r="B24" s="66" t="s">
        <v>35</v>
      </c>
      <c r="C24" s="67" t="s">
        <v>25</v>
      </c>
      <c r="D24" s="130" t="s">
        <v>112</v>
      </c>
      <c r="E24" s="56" t="s">
        <v>139</v>
      </c>
      <c r="F24" s="116">
        <f t="shared" si="0"/>
        <v>1.1700000000000002</v>
      </c>
      <c r="G24" s="116">
        <v>40393.08</v>
      </c>
    </row>
    <row r="25" spans="2:7" ht="39.75" customHeight="1">
      <c r="B25" s="42" t="s">
        <v>37</v>
      </c>
      <c r="C25" s="19" t="s">
        <v>26</v>
      </c>
      <c r="D25" s="109" t="s">
        <v>67</v>
      </c>
      <c r="E25" s="56" t="s">
        <v>139</v>
      </c>
      <c r="F25" s="116">
        <f t="shared" si="0"/>
        <v>0.73</v>
      </c>
      <c r="G25" s="116">
        <v>25202.52</v>
      </c>
    </row>
    <row r="26" spans="2:7" ht="28.5">
      <c r="B26" s="42" t="s">
        <v>39</v>
      </c>
      <c r="C26" s="19" t="s">
        <v>27</v>
      </c>
      <c r="D26" s="109" t="s">
        <v>67</v>
      </c>
      <c r="E26" s="56" t="s">
        <v>139</v>
      </c>
      <c r="F26" s="116">
        <f t="shared" si="0"/>
        <v>0.04</v>
      </c>
      <c r="G26" s="116">
        <v>1380.96</v>
      </c>
    </row>
    <row r="27" spans="2:7" ht="28.5">
      <c r="B27" s="66" t="s">
        <v>40</v>
      </c>
      <c r="C27" s="67" t="s">
        <v>28</v>
      </c>
      <c r="D27" s="108" t="s">
        <v>67</v>
      </c>
      <c r="E27" s="56" t="s">
        <v>139</v>
      </c>
      <c r="F27" s="116">
        <f t="shared" si="0"/>
        <v>0.43</v>
      </c>
      <c r="G27" s="116">
        <v>14845.32</v>
      </c>
    </row>
    <row r="28" spans="2:7" ht="49.5" customHeight="1">
      <c r="B28" s="66" t="s">
        <v>42</v>
      </c>
      <c r="C28" s="67" t="s">
        <v>36</v>
      </c>
      <c r="D28" s="132" t="s">
        <v>67</v>
      </c>
      <c r="E28" s="56" t="s">
        <v>139</v>
      </c>
      <c r="F28" s="116">
        <f t="shared" si="0"/>
        <v>0.04</v>
      </c>
      <c r="G28" s="116">
        <v>1380.96</v>
      </c>
    </row>
    <row r="29" spans="2:7" ht="51.75" customHeight="1">
      <c r="B29" s="42" t="s">
        <v>44</v>
      </c>
      <c r="C29" s="19" t="s">
        <v>38</v>
      </c>
      <c r="D29" s="132" t="s">
        <v>67</v>
      </c>
      <c r="E29" s="56" t="s">
        <v>139</v>
      </c>
      <c r="F29" s="116">
        <f t="shared" si="0"/>
        <v>0.17</v>
      </c>
      <c r="G29" s="116">
        <v>5869.08</v>
      </c>
    </row>
    <row r="30" spans="2:7" ht="15">
      <c r="B30" s="42" t="s">
        <v>46</v>
      </c>
      <c r="C30" s="126" t="s">
        <v>140</v>
      </c>
      <c r="D30" s="127" t="s">
        <v>112</v>
      </c>
      <c r="E30" s="115" t="s">
        <v>139</v>
      </c>
      <c r="F30" s="115">
        <v>1.3</v>
      </c>
      <c r="G30" s="152">
        <v>0</v>
      </c>
    </row>
    <row r="31" spans="2:7" ht="54.75" customHeight="1">
      <c r="B31" s="125"/>
      <c r="C31" s="170" t="s">
        <v>64</v>
      </c>
      <c r="D31" s="171"/>
      <c r="E31" s="171"/>
      <c r="F31" s="171"/>
      <c r="G31" s="153"/>
    </row>
    <row r="32" spans="2:7" ht="42.75">
      <c r="B32" s="26" t="s">
        <v>48</v>
      </c>
      <c r="C32" s="52" t="s">
        <v>74</v>
      </c>
      <c r="D32" s="128" t="s">
        <v>112</v>
      </c>
      <c r="E32" s="129" t="s">
        <v>139</v>
      </c>
      <c r="F32" s="116">
        <f>G32/2877/12</f>
        <v>2.1149999999999998</v>
      </c>
      <c r="G32" s="116">
        <v>73018.26</v>
      </c>
    </row>
    <row r="33" spans="2:7" ht="42.75" customHeight="1">
      <c r="B33" s="26" t="s">
        <v>50</v>
      </c>
      <c r="C33" s="20" t="s">
        <v>113</v>
      </c>
      <c r="D33" s="100" t="s">
        <v>69</v>
      </c>
      <c r="E33" s="56" t="s">
        <v>139</v>
      </c>
      <c r="F33" s="116">
        <f>G33/2877/12</f>
        <v>0.5399999999999999</v>
      </c>
      <c r="G33" s="116">
        <v>18642.96</v>
      </c>
    </row>
    <row r="34" spans="2:7" ht="45" customHeight="1">
      <c r="B34" s="45" t="s">
        <v>52</v>
      </c>
      <c r="C34" s="38" t="s">
        <v>41</v>
      </c>
      <c r="D34" s="4" t="s">
        <v>68</v>
      </c>
      <c r="E34" s="56" t="s">
        <v>139</v>
      </c>
      <c r="F34" s="56">
        <v>0</v>
      </c>
      <c r="G34" s="116">
        <v>0</v>
      </c>
    </row>
    <row r="35" spans="2:7" ht="45" customHeight="1">
      <c r="B35" s="66" t="s">
        <v>53</v>
      </c>
      <c r="C35" s="67" t="s">
        <v>43</v>
      </c>
      <c r="D35" s="132" t="s">
        <v>162</v>
      </c>
      <c r="E35" s="56" t="s">
        <v>139</v>
      </c>
      <c r="F35" s="116">
        <f aca="true" t="shared" si="1" ref="F35:F41">G35/2877/12</f>
        <v>1.1199999999999999</v>
      </c>
      <c r="G35" s="116">
        <v>38666.88</v>
      </c>
    </row>
    <row r="36" spans="2:7" ht="28.5">
      <c r="B36" s="42" t="s">
        <v>55</v>
      </c>
      <c r="C36" s="19" t="s">
        <v>45</v>
      </c>
      <c r="D36" s="132" t="s">
        <v>162</v>
      </c>
      <c r="E36" s="56" t="s">
        <v>139</v>
      </c>
      <c r="F36" s="116">
        <f t="shared" si="1"/>
        <v>1.18</v>
      </c>
      <c r="G36" s="116">
        <v>40738.32</v>
      </c>
    </row>
    <row r="37" spans="2:7" ht="55.5" customHeight="1">
      <c r="B37" s="42" t="s">
        <v>57</v>
      </c>
      <c r="C37" s="19" t="s">
        <v>47</v>
      </c>
      <c r="D37" s="132" t="s">
        <v>162</v>
      </c>
      <c r="E37" s="56" t="s">
        <v>139</v>
      </c>
      <c r="F37" s="116">
        <f t="shared" si="1"/>
        <v>0.88</v>
      </c>
      <c r="G37" s="116">
        <v>30381.12</v>
      </c>
    </row>
    <row r="38" spans="2:7" ht="28.5">
      <c r="B38" s="42" t="s">
        <v>59</v>
      </c>
      <c r="C38" s="19" t="s">
        <v>49</v>
      </c>
      <c r="D38" s="132" t="s">
        <v>162</v>
      </c>
      <c r="E38" s="56" t="s">
        <v>139</v>
      </c>
      <c r="F38" s="116">
        <f t="shared" si="1"/>
        <v>1.7550000000000001</v>
      </c>
      <c r="G38" s="116">
        <v>60589.62</v>
      </c>
    </row>
    <row r="39" spans="2:7" ht="54.75" customHeight="1">
      <c r="B39" s="42" t="s">
        <v>60</v>
      </c>
      <c r="C39" s="19" t="s">
        <v>51</v>
      </c>
      <c r="D39" s="132" t="s">
        <v>162</v>
      </c>
      <c r="E39" s="56" t="s">
        <v>139</v>
      </c>
      <c r="F39" s="116">
        <f t="shared" si="1"/>
        <v>1.3800000000000001</v>
      </c>
      <c r="G39" s="116">
        <v>47643.12</v>
      </c>
    </row>
    <row r="40" spans="2:7" ht="42" customHeight="1">
      <c r="B40" s="98" t="s">
        <v>61</v>
      </c>
      <c r="C40" s="20" t="s">
        <v>121</v>
      </c>
      <c r="D40" s="111" t="s">
        <v>68</v>
      </c>
      <c r="E40" s="56" t="s">
        <v>139</v>
      </c>
      <c r="F40" s="116">
        <f t="shared" si="1"/>
        <v>0.27999999999999997</v>
      </c>
      <c r="G40" s="116">
        <v>9666.72</v>
      </c>
    </row>
    <row r="41" spans="2:7" ht="75" customHeight="1">
      <c r="B41" s="26" t="s">
        <v>62</v>
      </c>
      <c r="C41" s="39" t="s">
        <v>122</v>
      </c>
      <c r="D41" s="158" t="s">
        <v>123</v>
      </c>
      <c r="E41" s="56" t="s">
        <v>139</v>
      </c>
      <c r="F41" s="116">
        <f t="shared" si="1"/>
        <v>8.805</v>
      </c>
      <c r="G41" s="116">
        <v>303983.82</v>
      </c>
    </row>
    <row r="42" spans="2:7" ht="45" customHeight="1">
      <c r="B42" s="25"/>
      <c r="C42" s="170" t="s">
        <v>65</v>
      </c>
      <c r="D42" s="171"/>
      <c r="E42" s="171"/>
      <c r="F42" s="171"/>
      <c r="G42" s="153"/>
    </row>
    <row r="43" spans="2:7" ht="45" customHeight="1">
      <c r="B43" s="26" t="s">
        <v>63</v>
      </c>
      <c r="C43" s="20" t="s">
        <v>54</v>
      </c>
      <c r="D43" s="16" t="s">
        <v>112</v>
      </c>
      <c r="E43" s="56" t="s">
        <v>139</v>
      </c>
      <c r="F43" s="116">
        <f aca="true" t="shared" si="2" ref="F43:F53">G43/2877/12</f>
        <v>1.51</v>
      </c>
      <c r="G43" s="116">
        <v>52131.24</v>
      </c>
    </row>
    <row r="44" spans="2:7" ht="28.5">
      <c r="B44" s="42" t="s">
        <v>75</v>
      </c>
      <c r="C44" s="19" t="s">
        <v>56</v>
      </c>
      <c r="D44" s="112" t="s">
        <v>69</v>
      </c>
      <c r="E44" s="56" t="s">
        <v>139</v>
      </c>
      <c r="F44" s="116">
        <f t="shared" si="2"/>
        <v>0.01</v>
      </c>
      <c r="G44" s="116">
        <v>345.24</v>
      </c>
    </row>
    <row r="45" spans="2:7" ht="42.75">
      <c r="B45" s="42" t="s">
        <v>85</v>
      </c>
      <c r="C45" s="19" t="s">
        <v>58</v>
      </c>
      <c r="D45" s="16" t="s">
        <v>112</v>
      </c>
      <c r="E45" s="56" t="s">
        <v>139</v>
      </c>
      <c r="F45" s="116">
        <f t="shared" si="2"/>
        <v>1.58</v>
      </c>
      <c r="G45" s="116">
        <f>54547.92</f>
        <v>54547.92</v>
      </c>
    </row>
    <row r="46" spans="2:7" ht="60" customHeight="1">
      <c r="B46" s="42" t="s">
        <v>86</v>
      </c>
      <c r="C46" s="19" t="s">
        <v>124</v>
      </c>
      <c r="D46" s="124" t="s">
        <v>67</v>
      </c>
      <c r="E46" s="56" t="s">
        <v>139</v>
      </c>
      <c r="F46" s="116">
        <f t="shared" si="2"/>
        <v>0.13</v>
      </c>
      <c r="G46" s="116">
        <v>4488.12</v>
      </c>
    </row>
    <row r="47" spans="2:7" ht="42.75">
      <c r="B47" s="45" t="s">
        <v>125</v>
      </c>
      <c r="C47" s="38" t="s">
        <v>126</v>
      </c>
      <c r="D47" s="113" t="s">
        <v>71</v>
      </c>
      <c r="E47" s="56" t="s">
        <v>139</v>
      </c>
      <c r="F47" s="116">
        <f t="shared" si="2"/>
        <v>0.7399999999999999</v>
      </c>
      <c r="G47" s="116">
        <v>25547.76</v>
      </c>
    </row>
    <row r="48" spans="2:7" ht="60" customHeight="1">
      <c r="B48" s="26" t="s">
        <v>127</v>
      </c>
      <c r="C48" s="101" t="s">
        <v>30</v>
      </c>
      <c r="D48" s="111" t="s">
        <v>128</v>
      </c>
      <c r="E48" s="56" t="s">
        <v>139</v>
      </c>
      <c r="F48" s="116">
        <f t="shared" si="2"/>
        <v>3.3649999999999998</v>
      </c>
      <c r="G48" s="116">
        <v>116173.26</v>
      </c>
    </row>
    <row r="49" spans="2:7" ht="28.5">
      <c r="B49" s="26" t="s">
        <v>129</v>
      </c>
      <c r="C49" s="160" t="s">
        <v>73</v>
      </c>
      <c r="D49" s="161" t="s">
        <v>16</v>
      </c>
      <c r="E49" s="56" t="s">
        <v>139</v>
      </c>
      <c r="F49" s="116">
        <f t="shared" si="2"/>
        <v>0.27999999999999997</v>
      </c>
      <c r="G49" s="116">
        <v>9666.72</v>
      </c>
    </row>
    <row r="50" spans="2:7" ht="45.75" customHeight="1">
      <c r="B50" s="87" t="s">
        <v>131</v>
      </c>
      <c r="C50" s="88" t="s">
        <v>130</v>
      </c>
      <c r="D50" s="114" t="s">
        <v>16</v>
      </c>
      <c r="E50" s="56" t="s">
        <v>139</v>
      </c>
      <c r="F50" s="116">
        <f t="shared" si="2"/>
        <v>0.04987486965589155</v>
      </c>
      <c r="G50" s="116">
        <f>915.9+402.99+402.99</f>
        <v>1721.8799999999999</v>
      </c>
    </row>
    <row r="51" spans="2:7" ht="27.75" customHeight="1">
      <c r="B51" s="87" t="s">
        <v>142</v>
      </c>
      <c r="C51" s="88" t="s">
        <v>132</v>
      </c>
      <c r="D51" s="114" t="s">
        <v>16</v>
      </c>
      <c r="E51" s="56" t="s">
        <v>139</v>
      </c>
      <c r="F51" s="116">
        <f t="shared" si="2"/>
        <v>0.008927702467848454</v>
      </c>
      <c r="G51" s="116">
        <f>69.79+69.79+168.64</f>
        <v>308.22</v>
      </c>
    </row>
    <row r="52" spans="2:7" ht="36.75" customHeight="1">
      <c r="B52" s="87" t="s">
        <v>143</v>
      </c>
      <c r="C52" s="88" t="s">
        <v>141</v>
      </c>
      <c r="D52" s="114" t="s">
        <v>16</v>
      </c>
      <c r="E52" s="56" t="s">
        <v>139</v>
      </c>
      <c r="F52" s="116">
        <f t="shared" si="2"/>
        <v>0.007332290580465763</v>
      </c>
      <c r="G52" s="116">
        <v>253.14</v>
      </c>
    </row>
    <row r="53" spans="2:7" ht="38.25" customHeight="1">
      <c r="B53" s="87" t="s">
        <v>144</v>
      </c>
      <c r="C53" s="88" t="s">
        <v>133</v>
      </c>
      <c r="D53" s="114" t="s">
        <v>16</v>
      </c>
      <c r="E53" s="56" t="s">
        <v>139</v>
      </c>
      <c r="F53" s="116">
        <f t="shared" si="2"/>
        <v>0.6225338894681961</v>
      </c>
      <c r="G53" s="116">
        <f>4660.75+4660.75+11916.7+254.16</f>
        <v>21492.36</v>
      </c>
    </row>
    <row r="54" spans="2:7" ht="60" customHeight="1" hidden="1">
      <c r="B54" s="26"/>
      <c r="C54" s="101" t="s">
        <v>145</v>
      </c>
      <c r="D54" s="17"/>
      <c r="E54" s="86"/>
      <c r="F54" s="133"/>
      <c r="G54" s="133">
        <f>G49+G48+G47+G46+G45+G44+G43+G41+G40+G39+G38+G37+G36+G35+G34+G33+G32+G30+G29+G28+G27+G26+G25+G24+G23+G22+G21+G20+G19+G18+G17+G14+G13+G12+G11</f>
        <v>1209203.0999999994</v>
      </c>
    </row>
    <row r="55" spans="2:7" ht="24.75" customHeight="1" hidden="1">
      <c r="B55" s="77"/>
      <c r="C55" s="84"/>
      <c r="D55" s="81"/>
      <c r="E55" s="120"/>
      <c r="F55" s="117"/>
      <c r="G55" s="96"/>
    </row>
    <row r="56" spans="2:7" ht="24.75" customHeight="1">
      <c r="B56" s="99"/>
      <c r="C56" s="104" t="s">
        <v>134</v>
      </c>
      <c r="D56" s="105"/>
      <c r="E56" s="56"/>
      <c r="F56" s="102"/>
      <c r="G56" s="102">
        <f>G54+G53+G52+G51+G50</f>
        <v>1232978.6999999993</v>
      </c>
    </row>
    <row r="57" spans="2:4" ht="15">
      <c r="B57" s="28"/>
      <c r="C57" s="10"/>
      <c r="D57" s="3"/>
    </row>
    <row r="59" ht="15.75">
      <c r="C59" s="18"/>
    </row>
  </sheetData>
  <sheetProtection/>
  <mergeCells count="3">
    <mergeCell ref="C15:F15"/>
    <mergeCell ref="C31:F31"/>
    <mergeCell ref="C42:F42"/>
  </mergeCells>
  <printOptions/>
  <pageMargins left="0.5118110236220472" right="0.5118110236220472" top="0.2755905511811024" bottom="0.275590551181102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6"/>
  <sheetViews>
    <sheetView zoomScalePageLayoutView="0" workbookViewId="0" topLeftCell="A1">
      <selection activeCell="C24" sqref="C24"/>
    </sheetView>
  </sheetViews>
  <sheetFormatPr defaultColWidth="9.140625" defaultRowHeight="12"/>
  <cols>
    <col min="1" max="1" width="9.140625" style="0" customWidth="1"/>
    <col min="2" max="2" width="46.57421875" style="0" customWidth="1"/>
    <col min="3" max="3" width="16.28125" style="0" customWidth="1"/>
    <col min="4" max="4" width="13.421875" style="0" customWidth="1"/>
    <col min="5" max="5" width="16.28125" style="0" customWidth="1"/>
    <col min="6" max="6" width="16.00390625" style="0" customWidth="1"/>
    <col min="7" max="7" width="12.8515625" style="0" customWidth="1"/>
  </cols>
  <sheetData>
    <row r="3" ht="15">
      <c r="B3" s="1" t="s">
        <v>146</v>
      </c>
    </row>
    <row r="4" ht="15">
      <c r="B4" s="1"/>
    </row>
    <row r="5" ht="18.75">
      <c r="B5" s="14" t="s">
        <v>149</v>
      </c>
    </row>
    <row r="10" spans="1:6" ht="71.25">
      <c r="A10" s="121" t="s">
        <v>0</v>
      </c>
      <c r="B10" s="85" t="s">
        <v>88</v>
      </c>
      <c r="C10" s="56" t="s">
        <v>89</v>
      </c>
      <c r="D10" s="56" t="s">
        <v>138</v>
      </c>
      <c r="E10" s="56" t="s">
        <v>90</v>
      </c>
      <c r="F10" s="56" t="s">
        <v>135</v>
      </c>
    </row>
    <row r="11" spans="1:6" ht="28.5" customHeight="1">
      <c r="A11" s="121" t="s">
        <v>93</v>
      </c>
      <c r="B11" s="85" t="s">
        <v>94</v>
      </c>
      <c r="C11" s="56" t="s">
        <v>95</v>
      </c>
      <c r="D11" s="56" t="s">
        <v>139</v>
      </c>
      <c r="E11" s="116">
        <f>F11/12/3115.1</f>
        <v>0.44499989299433945</v>
      </c>
      <c r="F11" s="116">
        <v>16634.63</v>
      </c>
    </row>
    <row r="12" spans="1:6" ht="75.75" customHeight="1">
      <c r="A12" s="121" t="s">
        <v>96</v>
      </c>
      <c r="B12" s="122" t="s">
        <v>97</v>
      </c>
      <c r="C12" s="56" t="s">
        <v>95</v>
      </c>
      <c r="D12" s="56" t="s">
        <v>139</v>
      </c>
      <c r="E12" s="116">
        <f>F12/12/3115.1</f>
        <v>0.16999989299433943</v>
      </c>
      <c r="F12" s="116">
        <v>6354.8</v>
      </c>
    </row>
    <row r="13" spans="1:6" ht="28.5" customHeight="1">
      <c r="A13" s="121" t="s">
        <v>98</v>
      </c>
      <c r="B13" s="122" t="s">
        <v>99</v>
      </c>
      <c r="C13" s="56" t="s">
        <v>95</v>
      </c>
      <c r="D13" s="56" t="s">
        <v>139</v>
      </c>
      <c r="E13" s="116">
        <f>F13/12/3115.1</f>
        <v>1.4949998929943393</v>
      </c>
      <c r="F13" s="116">
        <v>55884.89</v>
      </c>
    </row>
    <row r="14" spans="1:6" ht="51.75" customHeight="1">
      <c r="A14" s="121" t="s">
        <v>100</v>
      </c>
      <c r="B14" s="122" t="s">
        <v>101</v>
      </c>
      <c r="C14" s="56" t="s">
        <v>95</v>
      </c>
      <c r="D14" s="56" t="s">
        <v>139</v>
      </c>
      <c r="E14" s="116">
        <f>F14/12/3115.1</f>
        <v>1.2449998929943393</v>
      </c>
      <c r="F14" s="116">
        <v>46539.59</v>
      </c>
    </row>
    <row r="15" spans="1:6" ht="15">
      <c r="A15" s="30"/>
      <c r="B15" s="168" t="s">
        <v>6</v>
      </c>
      <c r="C15" s="169"/>
      <c r="D15" s="169"/>
      <c r="E15" s="169"/>
      <c r="F15" s="151"/>
    </row>
    <row r="16" spans="1:6" ht="14.25">
      <c r="A16" s="37"/>
      <c r="B16" s="75"/>
      <c r="C16" s="76"/>
      <c r="D16" s="76"/>
      <c r="E16" s="74"/>
      <c r="F16" s="74"/>
    </row>
    <row r="17" spans="1:6" ht="47.25" customHeight="1">
      <c r="A17" s="31" t="s">
        <v>102</v>
      </c>
      <c r="B17" s="55" t="s">
        <v>19</v>
      </c>
      <c r="C17" s="123" t="s">
        <v>67</v>
      </c>
      <c r="D17" s="56" t="s">
        <v>139</v>
      </c>
      <c r="E17" s="116">
        <f aca="true" t="shared" si="0" ref="E17:E30">F17/12/3115.1</f>
        <v>0.55</v>
      </c>
      <c r="F17" s="116">
        <v>20559.66</v>
      </c>
    </row>
    <row r="18" spans="1:6" ht="28.5" customHeight="1">
      <c r="A18" s="33" t="s">
        <v>103</v>
      </c>
      <c r="B18" s="12" t="s">
        <v>20</v>
      </c>
      <c r="C18" s="123" t="s">
        <v>67</v>
      </c>
      <c r="D18" s="56" t="s">
        <v>139</v>
      </c>
      <c r="E18" s="116">
        <f t="shared" si="0"/>
        <v>0.19000005350283034</v>
      </c>
      <c r="F18" s="116">
        <v>7102.43</v>
      </c>
    </row>
    <row r="19" spans="1:6" ht="27.75" customHeight="1">
      <c r="A19" s="66" t="s">
        <v>104</v>
      </c>
      <c r="B19" s="67" t="s">
        <v>21</v>
      </c>
      <c r="C19" s="108" t="s">
        <v>67</v>
      </c>
      <c r="D19" s="56" t="s">
        <v>139</v>
      </c>
      <c r="E19" s="116">
        <f t="shared" si="0"/>
        <v>0.1599999464971697</v>
      </c>
      <c r="F19" s="116">
        <v>5980.99</v>
      </c>
    </row>
    <row r="20" spans="1:6" ht="53.25" customHeight="1">
      <c r="A20" s="42" t="s">
        <v>105</v>
      </c>
      <c r="B20" s="19" t="s">
        <v>22</v>
      </c>
      <c r="C20" s="107" t="s">
        <v>67</v>
      </c>
      <c r="D20" s="56" t="s">
        <v>139</v>
      </c>
      <c r="E20" s="116">
        <f t="shared" si="0"/>
        <v>0.08000010700566061</v>
      </c>
      <c r="F20" s="116">
        <v>2990.5</v>
      </c>
    </row>
    <row r="21" spans="1:6" ht="51.75" customHeight="1">
      <c r="A21" s="51" t="s">
        <v>32</v>
      </c>
      <c r="B21" s="52" t="s">
        <v>31</v>
      </c>
      <c r="C21" s="109" t="s">
        <v>67</v>
      </c>
      <c r="D21" s="56" t="s">
        <v>139</v>
      </c>
      <c r="E21" s="116">
        <f t="shared" si="0"/>
        <v>0.0300001070056606</v>
      </c>
      <c r="F21" s="116">
        <v>1121.44</v>
      </c>
    </row>
    <row r="22" spans="1:6" ht="42.75" customHeight="1">
      <c r="A22" s="26" t="s">
        <v>33</v>
      </c>
      <c r="B22" s="164" t="s">
        <v>23</v>
      </c>
      <c r="C22" s="165" t="s">
        <v>67</v>
      </c>
      <c r="D22" s="56" t="s">
        <v>139</v>
      </c>
      <c r="E22" s="116">
        <f t="shared" si="0"/>
        <v>0.0300001070056606</v>
      </c>
      <c r="F22" s="116">
        <v>1121.44</v>
      </c>
    </row>
    <row r="23" spans="1:6" ht="34.5" customHeight="1">
      <c r="A23" s="125" t="s">
        <v>34</v>
      </c>
      <c r="B23" s="166" t="s">
        <v>24</v>
      </c>
      <c r="C23" s="130" t="s">
        <v>112</v>
      </c>
      <c r="D23" s="56" t="s">
        <v>139</v>
      </c>
      <c r="E23" s="116">
        <f t="shared" si="0"/>
        <v>2.3800001070056602</v>
      </c>
      <c r="F23" s="116">
        <v>88967.26</v>
      </c>
    </row>
    <row r="24" spans="1:6" ht="71.25" customHeight="1">
      <c r="A24" s="66" t="s">
        <v>35</v>
      </c>
      <c r="B24" s="167" t="s">
        <v>25</v>
      </c>
      <c r="C24" s="85" t="s">
        <v>112</v>
      </c>
      <c r="D24" s="56" t="s">
        <v>139</v>
      </c>
      <c r="E24" s="116">
        <f t="shared" si="0"/>
        <v>1.1699998929943394</v>
      </c>
      <c r="F24" s="116">
        <v>43736</v>
      </c>
    </row>
    <row r="25" spans="1:6" ht="57" customHeight="1">
      <c r="A25" s="42" t="s">
        <v>37</v>
      </c>
      <c r="B25" s="19" t="s">
        <v>26</v>
      </c>
      <c r="C25" s="109" t="s">
        <v>67</v>
      </c>
      <c r="D25" s="56" t="s">
        <v>139</v>
      </c>
      <c r="E25" s="116">
        <f t="shared" si="0"/>
        <v>0.7300001070056605</v>
      </c>
      <c r="F25" s="116">
        <v>27288.28</v>
      </c>
    </row>
    <row r="26" spans="1:6" ht="71.25" customHeight="1">
      <c r="A26" s="42" t="s">
        <v>39</v>
      </c>
      <c r="B26" s="19" t="s">
        <v>27</v>
      </c>
      <c r="C26" s="109" t="s">
        <v>67</v>
      </c>
      <c r="D26" s="56" t="s">
        <v>139</v>
      </c>
      <c r="E26" s="116">
        <f t="shared" si="0"/>
        <v>0.040000053502830306</v>
      </c>
      <c r="F26" s="116">
        <v>1495.25</v>
      </c>
    </row>
    <row r="27" spans="1:6" ht="85.5" customHeight="1">
      <c r="A27" s="66" t="s">
        <v>40</v>
      </c>
      <c r="B27" s="67" t="s">
        <v>28</v>
      </c>
      <c r="C27" s="108" t="s">
        <v>67</v>
      </c>
      <c r="D27" s="56" t="s">
        <v>139</v>
      </c>
      <c r="E27" s="116">
        <f t="shared" si="0"/>
        <v>0.4300001070056606</v>
      </c>
      <c r="F27" s="116">
        <v>16073.92</v>
      </c>
    </row>
    <row r="28" spans="1:6" ht="99.75" customHeight="1">
      <c r="A28" s="66" t="s">
        <v>42</v>
      </c>
      <c r="B28" s="67" t="s">
        <v>36</v>
      </c>
      <c r="C28" s="132" t="s">
        <v>67</v>
      </c>
      <c r="D28" s="56" t="s">
        <v>139</v>
      </c>
      <c r="E28" s="116">
        <f t="shared" si="0"/>
        <v>0.040000053502830306</v>
      </c>
      <c r="F28" s="116">
        <v>1495.25</v>
      </c>
    </row>
    <row r="29" spans="1:6" ht="142.5" customHeight="1">
      <c r="A29" s="42" t="s">
        <v>44</v>
      </c>
      <c r="B29" s="155" t="s">
        <v>38</v>
      </c>
      <c r="C29" s="111" t="s">
        <v>67</v>
      </c>
      <c r="D29" s="56" t="s">
        <v>139</v>
      </c>
      <c r="E29" s="116">
        <f t="shared" si="0"/>
        <v>0.16999989299433943</v>
      </c>
      <c r="F29" s="116">
        <v>6354.8</v>
      </c>
    </row>
    <row r="30" spans="1:6" ht="42.75" customHeight="1">
      <c r="A30" s="42" t="s">
        <v>46</v>
      </c>
      <c r="B30" s="126" t="s">
        <v>140</v>
      </c>
      <c r="C30" s="127" t="s">
        <v>112</v>
      </c>
      <c r="D30" s="115" t="s">
        <v>139</v>
      </c>
      <c r="E30" s="116">
        <f t="shared" si="0"/>
        <v>3.200640428878688</v>
      </c>
      <c r="F30" s="152">
        <v>119643.78</v>
      </c>
    </row>
    <row r="31" spans="1:6" ht="15" customHeight="1">
      <c r="A31" s="125"/>
      <c r="B31" s="170" t="s">
        <v>64</v>
      </c>
      <c r="C31" s="171"/>
      <c r="D31" s="171"/>
      <c r="E31" s="171"/>
      <c r="F31" s="153"/>
    </row>
    <row r="32" spans="1:6" ht="51" customHeight="1">
      <c r="A32" s="26" t="s">
        <v>48</v>
      </c>
      <c r="B32" s="52" t="s">
        <v>74</v>
      </c>
      <c r="C32" s="128" t="s">
        <v>112</v>
      </c>
      <c r="D32" s="129" t="s">
        <v>139</v>
      </c>
      <c r="E32" s="116">
        <f>F32/12/3115.1</f>
        <v>2.1150000535028304</v>
      </c>
      <c r="F32" s="116">
        <v>79061.24</v>
      </c>
    </row>
    <row r="33" spans="1:6" ht="62.25" customHeight="1">
      <c r="A33" s="26" t="s">
        <v>50</v>
      </c>
      <c r="B33" s="20" t="s">
        <v>113</v>
      </c>
      <c r="C33" s="100" t="s">
        <v>69</v>
      </c>
      <c r="D33" s="56" t="s">
        <v>139</v>
      </c>
      <c r="E33" s="116">
        <f>F33/12/3115.1</f>
        <v>0.5399920280782854</v>
      </c>
      <c r="F33" s="116">
        <v>20185.55</v>
      </c>
    </row>
    <row r="34" spans="1:6" ht="57" customHeight="1">
      <c r="A34" s="45" t="s">
        <v>52</v>
      </c>
      <c r="B34" s="38" t="s">
        <v>41</v>
      </c>
      <c r="C34" s="4" t="s">
        <v>68</v>
      </c>
      <c r="D34" s="56" t="s">
        <v>139</v>
      </c>
      <c r="E34" s="116">
        <v>0</v>
      </c>
      <c r="F34" s="116">
        <v>0</v>
      </c>
    </row>
    <row r="35" spans="1:6" ht="51.75" customHeight="1">
      <c r="A35" s="66" t="s">
        <v>53</v>
      </c>
      <c r="B35" s="67" t="s">
        <v>43</v>
      </c>
      <c r="C35" s="132" t="s">
        <v>162</v>
      </c>
      <c r="D35" s="56" t="s">
        <v>139</v>
      </c>
      <c r="E35" s="116">
        <f>F35/12/3115.1</f>
        <v>1.1199998929943396</v>
      </c>
      <c r="F35" s="116">
        <v>41866.94</v>
      </c>
    </row>
    <row r="36" spans="1:6" ht="85.5" customHeight="1">
      <c r="A36" s="42" t="s">
        <v>55</v>
      </c>
      <c r="B36" s="19" t="s">
        <v>45</v>
      </c>
      <c r="C36" s="132" t="s">
        <v>162</v>
      </c>
      <c r="D36" s="56" t="s">
        <v>139</v>
      </c>
      <c r="E36" s="116">
        <f>F36/12/3115.1</f>
        <v>1.1800001070056605</v>
      </c>
      <c r="F36" s="116">
        <v>44109.82</v>
      </c>
    </row>
    <row r="37" spans="1:6" ht="43.5" customHeight="1">
      <c r="A37" s="42" t="s">
        <v>57</v>
      </c>
      <c r="B37" s="19" t="s">
        <v>47</v>
      </c>
      <c r="C37" s="132" t="s">
        <v>162</v>
      </c>
      <c r="D37" s="56" t="s">
        <v>139</v>
      </c>
      <c r="E37" s="116">
        <f>F37/12/3115.1</f>
        <v>0.8800001070056607</v>
      </c>
      <c r="F37" s="116">
        <v>32895.46</v>
      </c>
    </row>
    <row r="38" spans="1:6" ht="50.25" customHeight="1">
      <c r="A38" s="42" t="s">
        <v>59</v>
      </c>
      <c r="B38" s="19" t="s">
        <v>49</v>
      </c>
      <c r="C38" s="132" t="s">
        <v>162</v>
      </c>
      <c r="D38" s="56" t="s">
        <v>139</v>
      </c>
      <c r="E38" s="116">
        <f>F38/12/3115.1</f>
        <v>1.7550001070056604</v>
      </c>
      <c r="F38" s="116">
        <v>65604.01</v>
      </c>
    </row>
    <row r="39" spans="1:6" ht="50.25" customHeight="1">
      <c r="A39" s="42" t="s">
        <v>60</v>
      </c>
      <c r="B39" s="19" t="s">
        <v>51</v>
      </c>
      <c r="C39" s="132" t="s">
        <v>162</v>
      </c>
      <c r="D39" s="56" t="s">
        <v>139</v>
      </c>
      <c r="E39" s="116">
        <f>F39/12/3115.1</f>
        <v>1.3800001070056607</v>
      </c>
      <c r="F39" s="116">
        <v>51586.06</v>
      </c>
    </row>
    <row r="40" spans="1:7" ht="50.25" customHeight="1">
      <c r="A40" s="98" t="s">
        <v>61</v>
      </c>
      <c r="B40" s="20" t="s">
        <v>121</v>
      </c>
      <c r="C40" s="111" t="s">
        <v>68</v>
      </c>
      <c r="D40" s="56" t="s">
        <v>139</v>
      </c>
      <c r="E40" s="116">
        <f>G40/12/3115.1</f>
        <v>0</v>
      </c>
      <c r="F40" s="116">
        <v>10455.74</v>
      </c>
      <c r="G40" s="163"/>
    </row>
    <row r="41" spans="1:6" ht="91.5" customHeight="1">
      <c r="A41" s="26" t="s">
        <v>62</v>
      </c>
      <c r="B41" s="39" t="s">
        <v>122</v>
      </c>
      <c r="C41" s="158" t="s">
        <v>123</v>
      </c>
      <c r="D41" s="56" t="s">
        <v>139</v>
      </c>
      <c r="E41" s="116">
        <f>F41/12/3115.1</f>
        <v>8.649915465528126</v>
      </c>
      <c r="F41" s="116">
        <v>323344.22</v>
      </c>
    </row>
    <row r="42" spans="1:6" ht="15" customHeight="1">
      <c r="A42" s="25"/>
      <c r="B42" s="170" t="s">
        <v>65</v>
      </c>
      <c r="C42" s="171"/>
      <c r="D42" s="171"/>
      <c r="E42" s="171"/>
      <c r="F42" s="153"/>
    </row>
    <row r="43" spans="1:6" ht="47.25" customHeight="1">
      <c r="A43" s="26" t="s">
        <v>63</v>
      </c>
      <c r="B43" s="20" t="s">
        <v>54</v>
      </c>
      <c r="C43" s="85" t="s">
        <v>112</v>
      </c>
      <c r="D43" s="56" t="s">
        <v>139</v>
      </c>
      <c r="E43" s="116">
        <f aca="true" t="shared" si="1" ref="E43:E53">F43/12/3115.1</f>
        <v>1.5099999464971698</v>
      </c>
      <c r="F43" s="116">
        <v>56445.61</v>
      </c>
    </row>
    <row r="44" spans="1:6" ht="57.75" customHeight="1">
      <c r="A44" s="42" t="s">
        <v>75</v>
      </c>
      <c r="B44" s="19" t="s">
        <v>56</v>
      </c>
      <c r="C44" s="112" t="s">
        <v>69</v>
      </c>
      <c r="D44" s="56" t="s">
        <v>139</v>
      </c>
      <c r="E44" s="116">
        <f t="shared" si="1"/>
        <v>0.0099999464971697</v>
      </c>
      <c r="F44" s="116">
        <v>373.81</v>
      </c>
    </row>
    <row r="45" spans="1:6" ht="71.25" customHeight="1">
      <c r="A45" s="42" t="s">
        <v>85</v>
      </c>
      <c r="B45" s="19" t="s">
        <v>58</v>
      </c>
      <c r="C45" s="85" t="s">
        <v>112</v>
      </c>
      <c r="D45" s="56" t="s">
        <v>139</v>
      </c>
      <c r="E45" s="116">
        <f t="shared" si="1"/>
        <v>1.5800001070056606</v>
      </c>
      <c r="F45" s="116">
        <f>59062.3</f>
        <v>59062.3</v>
      </c>
    </row>
    <row r="46" spans="1:6" ht="60" customHeight="1">
      <c r="A46" s="42" t="s">
        <v>86</v>
      </c>
      <c r="B46" s="19" t="s">
        <v>124</v>
      </c>
      <c r="C46" s="124" t="s">
        <v>67</v>
      </c>
      <c r="D46" s="56" t="s">
        <v>139</v>
      </c>
      <c r="E46" s="116">
        <f t="shared" si="1"/>
        <v>0.13000010700566061</v>
      </c>
      <c r="F46" s="116">
        <v>4859.56</v>
      </c>
    </row>
    <row r="47" spans="1:6" ht="63" customHeight="1">
      <c r="A47" s="45" t="s">
        <v>125</v>
      </c>
      <c r="B47" s="38" t="s">
        <v>126</v>
      </c>
      <c r="C47" s="113" t="s">
        <v>71</v>
      </c>
      <c r="D47" s="56" t="s">
        <v>139</v>
      </c>
      <c r="E47" s="116">
        <f t="shared" si="1"/>
        <v>0.7400000535028304</v>
      </c>
      <c r="F47" s="116">
        <v>27662.09</v>
      </c>
    </row>
    <row r="48" spans="1:6" ht="51" customHeight="1">
      <c r="A48" s="26" t="s">
        <v>127</v>
      </c>
      <c r="B48" s="101" t="s">
        <v>30</v>
      </c>
      <c r="C48" s="111" t="s">
        <v>128</v>
      </c>
      <c r="D48" s="56" t="s">
        <v>139</v>
      </c>
      <c r="E48" s="116">
        <f t="shared" si="1"/>
        <v>3.3650000535028304</v>
      </c>
      <c r="F48" s="116">
        <v>125787.74</v>
      </c>
    </row>
    <row r="49" spans="1:6" ht="28.5" customHeight="1">
      <c r="A49" s="26" t="s">
        <v>129</v>
      </c>
      <c r="B49" s="160" t="s">
        <v>73</v>
      </c>
      <c r="C49" s="161" t="s">
        <v>16</v>
      </c>
      <c r="D49" s="56" t="s">
        <v>139</v>
      </c>
      <c r="E49" s="116">
        <f t="shared" si="1"/>
        <v>0.28000010700566064</v>
      </c>
      <c r="F49" s="116">
        <v>10466.74</v>
      </c>
    </row>
    <row r="50" spans="1:6" ht="28.5" customHeight="1">
      <c r="A50" s="87" t="s">
        <v>131</v>
      </c>
      <c r="B50" s="88" t="s">
        <v>130</v>
      </c>
      <c r="C50" s="114" t="s">
        <v>16</v>
      </c>
      <c r="D50" s="56" t="s">
        <v>139</v>
      </c>
      <c r="E50" s="116">
        <f t="shared" si="1"/>
        <v>0.06552678886713108</v>
      </c>
      <c r="F50" s="116">
        <f>1562.03+443.72+443.72</f>
        <v>2449.4700000000003</v>
      </c>
    </row>
    <row r="51" spans="1:6" ht="28.5" customHeight="1">
      <c r="A51" s="87" t="s">
        <v>142</v>
      </c>
      <c r="B51" s="88" t="s">
        <v>132</v>
      </c>
      <c r="C51" s="114" t="s">
        <v>16</v>
      </c>
      <c r="D51" s="56" t="s">
        <v>139</v>
      </c>
      <c r="E51" s="116">
        <f t="shared" si="1"/>
        <v>0.012035996704225654</v>
      </c>
      <c r="F51" s="116">
        <f>296.32+76.8+76.8</f>
        <v>449.92</v>
      </c>
    </row>
    <row r="52" spans="1:6" ht="28.5" customHeight="1">
      <c r="A52" s="87" t="s">
        <v>143</v>
      </c>
      <c r="B52" s="88" t="s">
        <v>141</v>
      </c>
      <c r="C52" s="114" t="s">
        <v>16</v>
      </c>
      <c r="D52" s="56" t="s">
        <v>139</v>
      </c>
      <c r="E52" s="116">
        <f t="shared" si="1"/>
        <v>0.013667833028367202</v>
      </c>
      <c r="F52" s="116">
        <v>510.92</v>
      </c>
    </row>
    <row r="53" spans="1:6" ht="28.5" customHeight="1">
      <c r="A53" s="87" t="s">
        <v>144</v>
      </c>
      <c r="B53" s="88" t="s">
        <v>133</v>
      </c>
      <c r="C53" s="114" t="s">
        <v>16</v>
      </c>
      <c r="D53" s="56" t="s">
        <v>139</v>
      </c>
      <c r="E53" s="116">
        <f t="shared" si="1"/>
        <v>0.7360512771125594</v>
      </c>
      <c r="F53" s="116">
        <f>16251.6+5046.45+5046.45+1169.98</f>
        <v>27514.48</v>
      </c>
    </row>
    <row r="54" spans="1:6" ht="0.75" customHeight="1" hidden="1">
      <c r="A54" s="26"/>
      <c r="B54" s="101" t="s">
        <v>145</v>
      </c>
      <c r="C54" s="17"/>
      <c r="D54" s="86"/>
      <c r="E54" s="133"/>
      <c r="F54" s="133" t="e">
        <f>F49+F48+F47+F46+F45+F44+F43+F41+#REF!+F39+F38+F37+F36+F35+F34+F33+F32+F30+F29+F28+F27+F26+F25+F24+F23+F22+F21+F20+F19+F18+F17+F14+F13+F12+F11</f>
        <v>#REF!</v>
      </c>
    </row>
    <row r="55" spans="1:6" ht="15.75" hidden="1">
      <c r="A55" s="77"/>
      <c r="B55" s="84"/>
      <c r="C55" s="81"/>
      <c r="D55" s="120"/>
      <c r="E55" s="117"/>
      <c r="F55" s="96"/>
    </row>
    <row r="56" spans="1:6" ht="31.5">
      <c r="A56" s="99"/>
      <c r="B56" s="104" t="s">
        <v>134</v>
      </c>
      <c r="C56" s="105"/>
      <c r="D56" s="56"/>
      <c r="E56" s="102"/>
      <c r="F56" s="102">
        <f>SUM(F11:F53)</f>
        <v>1454036.59</v>
      </c>
    </row>
  </sheetData>
  <sheetProtection/>
  <mergeCells count="3">
    <mergeCell ref="B31:E31"/>
    <mergeCell ref="B15:E15"/>
    <mergeCell ref="B42:E4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56"/>
  <sheetViews>
    <sheetView zoomScalePageLayoutView="0" workbookViewId="0" topLeftCell="B1">
      <selection activeCell="D34" sqref="D34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6.421875" style="0" customWidth="1"/>
    <col min="5" max="5" width="11.00390625" style="0" customWidth="1"/>
    <col min="6" max="6" width="13.00390625" style="0" customWidth="1"/>
    <col min="7" max="7" width="16.00390625" style="0" customWidth="1"/>
  </cols>
  <sheetData>
    <row r="3" ht="15">
      <c r="C3" s="1" t="s">
        <v>146</v>
      </c>
    </row>
    <row r="4" ht="15">
      <c r="C4" s="1"/>
    </row>
    <row r="5" ht="18.75">
      <c r="C5" s="14" t="s">
        <v>150</v>
      </c>
    </row>
    <row r="10" spans="2:7" ht="85.5">
      <c r="B10" s="121" t="s">
        <v>0</v>
      </c>
      <c r="C10" s="85" t="s">
        <v>88</v>
      </c>
      <c r="D10" s="56" t="s">
        <v>89</v>
      </c>
      <c r="E10" s="56" t="s">
        <v>138</v>
      </c>
      <c r="F10" s="56" t="s">
        <v>90</v>
      </c>
      <c r="G10" s="56" t="s">
        <v>135</v>
      </c>
    </row>
    <row r="11" spans="2:7" ht="14.25">
      <c r="B11" s="121" t="s">
        <v>93</v>
      </c>
      <c r="C11" s="85" t="s">
        <v>94</v>
      </c>
      <c r="D11" s="56" t="s">
        <v>95</v>
      </c>
      <c r="E11" s="56" t="s">
        <v>139</v>
      </c>
      <c r="F11" s="116">
        <f>G11/6187.3/12</f>
        <v>0.4449999730631024</v>
      </c>
      <c r="G11" s="116">
        <v>33040.18</v>
      </c>
    </row>
    <row r="12" spans="2:7" ht="43.5">
      <c r="B12" s="121" t="s">
        <v>96</v>
      </c>
      <c r="C12" s="122" t="s">
        <v>97</v>
      </c>
      <c r="D12" s="56" t="s">
        <v>95</v>
      </c>
      <c r="E12" s="56" t="s">
        <v>139</v>
      </c>
      <c r="F12" s="116">
        <f>G12/6187.3/12</f>
        <v>0.16999997306310236</v>
      </c>
      <c r="G12" s="116">
        <v>12622.09</v>
      </c>
    </row>
    <row r="13" spans="2:7" ht="14.25">
      <c r="B13" s="121" t="s">
        <v>98</v>
      </c>
      <c r="C13" s="122" t="s">
        <v>99</v>
      </c>
      <c r="D13" s="56" t="s">
        <v>95</v>
      </c>
      <c r="E13" s="56" t="s">
        <v>139</v>
      </c>
      <c r="F13" s="116">
        <f>G13/6187.3/12</f>
        <v>1.4949999730631023</v>
      </c>
      <c r="G13" s="116">
        <v>111000.16</v>
      </c>
    </row>
    <row r="14" spans="2:7" ht="28.5">
      <c r="B14" s="121" t="s">
        <v>100</v>
      </c>
      <c r="C14" s="122" t="s">
        <v>101</v>
      </c>
      <c r="D14" s="56" t="s">
        <v>95</v>
      </c>
      <c r="E14" s="56" t="s">
        <v>139</v>
      </c>
      <c r="F14" s="116">
        <f>G14/6187.3/12</f>
        <v>1.2449999730631023</v>
      </c>
      <c r="G14" s="116">
        <v>92438.26</v>
      </c>
    </row>
    <row r="15" spans="2:7" ht="15">
      <c r="B15" s="30"/>
      <c r="C15" s="168" t="s">
        <v>6</v>
      </c>
      <c r="D15" s="169"/>
      <c r="E15" s="169"/>
      <c r="F15" s="169"/>
      <c r="G15" s="151"/>
    </row>
    <row r="16" spans="2:7" ht="14.25">
      <c r="B16" s="37"/>
      <c r="C16" s="75"/>
      <c r="D16" s="76"/>
      <c r="E16" s="76"/>
      <c r="F16" s="74"/>
      <c r="G16" s="74"/>
    </row>
    <row r="17" spans="2:7" ht="15.75">
      <c r="B17" s="31" t="s">
        <v>102</v>
      </c>
      <c r="C17" s="55" t="s">
        <v>19</v>
      </c>
      <c r="D17" s="123" t="s">
        <v>67</v>
      </c>
      <c r="E17" s="56" t="s">
        <v>139</v>
      </c>
      <c r="F17" s="116">
        <f aca="true" t="shared" si="0" ref="F17:F30">G17/6187.3/12</f>
        <v>0.5499999999999999</v>
      </c>
      <c r="G17" s="116">
        <v>40836.18</v>
      </c>
    </row>
    <row r="18" spans="2:7" ht="14.25">
      <c r="B18" s="33" t="s">
        <v>103</v>
      </c>
      <c r="C18" s="12" t="s">
        <v>20</v>
      </c>
      <c r="D18" s="123" t="s">
        <v>67</v>
      </c>
      <c r="E18" s="56" t="s">
        <v>139</v>
      </c>
      <c r="F18" s="116">
        <f t="shared" si="0"/>
        <v>0.18999994612620474</v>
      </c>
      <c r="G18" s="116">
        <v>14107.04</v>
      </c>
    </row>
    <row r="19" spans="2:7" ht="28.5">
      <c r="B19" s="66" t="s">
        <v>104</v>
      </c>
      <c r="C19" s="67" t="s">
        <v>21</v>
      </c>
      <c r="D19" s="108" t="s">
        <v>67</v>
      </c>
      <c r="E19" s="56" t="s">
        <v>139</v>
      </c>
      <c r="F19" s="116">
        <f t="shared" si="0"/>
        <v>0.16000005387379526</v>
      </c>
      <c r="G19" s="116">
        <v>11879.62</v>
      </c>
    </row>
    <row r="20" spans="2:7" ht="28.5">
      <c r="B20" s="42" t="s">
        <v>105</v>
      </c>
      <c r="C20" s="19" t="s">
        <v>22</v>
      </c>
      <c r="D20" s="107" t="s">
        <v>67</v>
      </c>
      <c r="E20" s="56" t="s">
        <v>139</v>
      </c>
      <c r="F20" s="116">
        <f t="shared" si="0"/>
        <v>0.08000002693689763</v>
      </c>
      <c r="G20" s="116">
        <v>5939.81</v>
      </c>
    </row>
    <row r="21" spans="2:7" ht="28.5">
      <c r="B21" s="51" t="s">
        <v>32</v>
      </c>
      <c r="C21" s="52" t="s">
        <v>31</v>
      </c>
      <c r="D21" s="109" t="s">
        <v>67</v>
      </c>
      <c r="E21" s="56" t="s">
        <v>139</v>
      </c>
      <c r="F21" s="116">
        <f t="shared" si="0"/>
        <v>0.030000026936897618</v>
      </c>
      <c r="G21" s="116">
        <v>2227.43</v>
      </c>
    </row>
    <row r="22" spans="2:7" ht="28.5">
      <c r="B22" s="26" t="s">
        <v>33</v>
      </c>
      <c r="C22" s="20" t="s">
        <v>23</v>
      </c>
      <c r="D22" s="107" t="s">
        <v>67</v>
      </c>
      <c r="E22" s="56" t="s">
        <v>139</v>
      </c>
      <c r="F22" s="116">
        <f t="shared" si="0"/>
        <v>0.030000026936897618</v>
      </c>
      <c r="G22" s="116">
        <v>2227.43</v>
      </c>
    </row>
    <row r="23" spans="2:7" ht="28.5">
      <c r="B23" s="45" t="s">
        <v>34</v>
      </c>
      <c r="C23" s="38" t="s">
        <v>24</v>
      </c>
      <c r="D23" s="4" t="s">
        <v>112</v>
      </c>
      <c r="E23" s="56" t="s">
        <v>139</v>
      </c>
      <c r="F23" s="116">
        <f t="shared" si="0"/>
        <v>2.3800000269368975</v>
      </c>
      <c r="G23" s="116">
        <v>176709.29</v>
      </c>
    </row>
    <row r="24" spans="2:7" ht="28.5">
      <c r="B24" s="66" t="s">
        <v>35</v>
      </c>
      <c r="C24" s="160" t="s">
        <v>25</v>
      </c>
      <c r="D24" s="85" t="s">
        <v>112</v>
      </c>
      <c r="E24" s="56" t="s">
        <v>139</v>
      </c>
      <c r="F24" s="116">
        <f t="shared" si="0"/>
        <v>1.1699999730631023</v>
      </c>
      <c r="G24" s="116">
        <v>86869.69</v>
      </c>
    </row>
    <row r="25" spans="2:7" ht="28.5">
      <c r="B25" s="42" t="s">
        <v>37</v>
      </c>
      <c r="C25" s="19" t="s">
        <v>26</v>
      </c>
      <c r="D25" s="109" t="s">
        <v>67</v>
      </c>
      <c r="E25" s="56" t="s">
        <v>139</v>
      </c>
      <c r="F25" s="116">
        <f t="shared" si="0"/>
        <v>0.7300000269368976</v>
      </c>
      <c r="G25" s="116">
        <v>54200.75</v>
      </c>
    </row>
    <row r="26" spans="2:7" ht="28.5">
      <c r="B26" s="42" t="s">
        <v>39</v>
      </c>
      <c r="C26" s="19" t="s">
        <v>27</v>
      </c>
      <c r="D26" s="109" t="s">
        <v>67</v>
      </c>
      <c r="E26" s="56" t="s">
        <v>139</v>
      </c>
      <c r="F26" s="116">
        <f t="shared" si="0"/>
        <v>0.039999946126204756</v>
      </c>
      <c r="G26" s="116">
        <v>2969.9</v>
      </c>
    </row>
    <row r="27" spans="2:7" ht="28.5">
      <c r="B27" s="66" t="s">
        <v>40</v>
      </c>
      <c r="C27" s="67" t="s">
        <v>28</v>
      </c>
      <c r="D27" s="108" t="s">
        <v>67</v>
      </c>
      <c r="E27" s="56" t="s">
        <v>139</v>
      </c>
      <c r="F27" s="116">
        <f t="shared" si="0"/>
        <v>0.4300000269368976</v>
      </c>
      <c r="G27" s="116">
        <v>31926.47</v>
      </c>
    </row>
    <row r="28" spans="2:7" ht="28.5">
      <c r="B28" s="66" t="s">
        <v>42</v>
      </c>
      <c r="C28" s="67" t="s">
        <v>36</v>
      </c>
      <c r="D28" s="132" t="s">
        <v>67</v>
      </c>
      <c r="E28" s="56" t="s">
        <v>139</v>
      </c>
      <c r="F28" s="116">
        <f t="shared" si="0"/>
        <v>0.039999946126204756</v>
      </c>
      <c r="G28" s="116">
        <v>2969.9</v>
      </c>
    </row>
    <row r="29" spans="2:7" ht="42.75">
      <c r="B29" s="42" t="s">
        <v>44</v>
      </c>
      <c r="C29" s="19" t="s">
        <v>38</v>
      </c>
      <c r="D29" s="110" t="s">
        <v>67</v>
      </c>
      <c r="E29" s="56" t="s">
        <v>139</v>
      </c>
      <c r="F29" s="116">
        <f t="shared" si="0"/>
        <v>0.16999997306310236</v>
      </c>
      <c r="G29" s="116">
        <v>12622.09</v>
      </c>
    </row>
    <row r="30" spans="2:7" ht="14.25">
      <c r="B30" s="42" t="s">
        <v>46</v>
      </c>
      <c r="C30" s="126" t="s">
        <v>140</v>
      </c>
      <c r="D30" s="127" t="s">
        <v>112</v>
      </c>
      <c r="E30" s="115" t="s">
        <v>139</v>
      </c>
      <c r="F30" s="116">
        <f t="shared" si="0"/>
        <v>0</v>
      </c>
      <c r="G30" s="152">
        <v>0</v>
      </c>
    </row>
    <row r="31" spans="2:7" ht="15" customHeight="1">
      <c r="B31" s="125"/>
      <c r="C31" s="170" t="s">
        <v>64</v>
      </c>
      <c r="D31" s="171"/>
      <c r="E31" s="171"/>
      <c r="F31" s="171"/>
      <c r="G31" s="153"/>
    </row>
    <row r="32" spans="2:7" ht="28.5">
      <c r="B32" s="26" t="s">
        <v>48</v>
      </c>
      <c r="C32" s="52" t="s">
        <v>74</v>
      </c>
      <c r="D32" s="128" t="s">
        <v>112</v>
      </c>
      <c r="E32" s="129" t="s">
        <v>139</v>
      </c>
      <c r="F32" s="116">
        <f>G32/6187.3/12</f>
        <v>2.114999946126205</v>
      </c>
      <c r="G32" s="116">
        <v>157033.67</v>
      </c>
    </row>
    <row r="33" spans="2:7" ht="28.5">
      <c r="B33" s="26" t="s">
        <v>50</v>
      </c>
      <c r="C33" s="20" t="s">
        <v>113</v>
      </c>
      <c r="D33" s="100" t="s">
        <v>69</v>
      </c>
      <c r="E33" s="56" t="s">
        <v>139</v>
      </c>
      <c r="F33" s="116">
        <f>G33/6187.3/12</f>
        <v>0.5399999461262047</v>
      </c>
      <c r="G33" s="116">
        <v>40093.7</v>
      </c>
    </row>
    <row r="34" spans="2:7" ht="28.5">
      <c r="B34" s="45" t="s">
        <v>52</v>
      </c>
      <c r="C34" s="38" t="s">
        <v>41</v>
      </c>
      <c r="D34" s="4" t="s">
        <v>68</v>
      </c>
      <c r="E34" s="56" t="s">
        <v>139</v>
      </c>
      <c r="F34" s="56">
        <v>0</v>
      </c>
      <c r="G34" s="116">
        <v>0</v>
      </c>
    </row>
    <row r="35" spans="2:7" ht="28.5">
      <c r="B35" s="66" t="s">
        <v>53</v>
      </c>
      <c r="C35" s="67" t="s">
        <v>43</v>
      </c>
      <c r="D35" s="132" t="s">
        <v>162</v>
      </c>
      <c r="E35" s="56" t="s">
        <v>139</v>
      </c>
      <c r="F35" s="116">
        <f aca="true" t="shared" si="1" ref="F35:F41">G35/6187.3/12</f>
        <v>1.1199999730631023</v>
      </c>
      <c r="G35" s="116">
        <v>83157.31</v>
      </c>
    </row>
    <row r="36" spans="2:7" ht="28.5">
      <c r="B36" s="42" t="s">
        <v>55</v>
      </c>
      <c r="C36" s="19" t="s">
        <v>45</v>
      </c>
      <c r="D36" s="132" t="s">
        <v>162</v>
      </c>
      <c r="E36" s="56" t="s">
        <v>139</v>
      </c>
      <c r="F36" s="116">
        <f t="shared" si="1"/>
        <v>1.1800000269368975</v>
      </c>
      <c r="G36" s="116">
        <v>87612.17</v>
      </c>
    </row>
    <row r="37" spans="2:7" ht="28.5">
      <c r="B37" s="42" t="s">
        <v>57</v>
      </c>
      <c r="C37" s="19" t="s">
        <v>47</v>
      </c>
      <c r="D37" s="132" t="s">
        <v>162</v>
      </c>
      <c r="E37" s="56" t="s">
        <v>139</v>
      </c>
      <c r="F37" s="116">
        <f t="shared" si="1"/>
        <v>0.8800000269368976</v>
      </c>
      <c r="G37" s="116">
        <v>65337.89</v>
      </c>
    </row>
    <row r="38" spans="2:7" ht="28.5">
      <c r="B38" s="42" t="s">
        <v>59</v>
      </c>
      <c r="C38" s="19" t="s">
        <v>49</v>
      </c>
      <c r="D38" s="132" t="s">
        <v>162</v>
      </c>
      <c r="E38" s="56" t="s">
        <v>139</v>
      </c>
      <c r="F38" s="116">
        <f t="shared" si="1"/>
        <v>1.7550000269368973</v>
      </c>
      <c r="G38" s="116">
        <v>130304.54</v>
      </c>
    </row>
    <row r="39" spans="2:7" ht="28.5">
      <c r="B39" s="42" t="s">
        <v>60</v>
      </c>
      <c r="C39" s="19" t="s">
        <v>51</v>
      </c>
      <c r="D39" s="132" t="s">
        <v>162</v>
      </c>
      <c r="E39" s="56" t="s">
        <v>139</v>
      </c>
      <c r="F39" s="116">
        <f t="shared" si="1"/>
        <v>1.3800000269368977</v>
      </c>
      <c r="G39" s="116">
        <v>102461.69</v>
      </c>
    </row>
    <row r="40" spans="2:7" ht="28.5">
      <c r="B40" s="98" t="s">
        <v>61</v>
      </c>
      <c r="C40" s="20" t="s">
        <v>121</v>
      </c>
      <c r="D40" s="111" t="s">
        <v>68</v>
      </c>
      <c r="E40" s="56" t="s">
        <v>139</v>
      </c>
      <c r="F40" s="116">
        <f t="shared" si="1"/>
        <v>0.28000002693689763</v>
      </c>
      <c r="G40" s="116">
        <v>20789.33</v>
      </c>
    </row>
    <row r="41" spans="2:7" ht="85.5">
      <c r="B41" s="26" t="s">
        <v>62</v>
      </c>
      <c r="C41" s="39" t="s">
        <v>122</v>
      </c>
      <c r="D41" s="158" t="s">
        <v>123</v>
      </c>
      <c r="E41" s="56" t="s">
        <v>139</v>
      </c>
      <c r="F41" s="116">
        <f t="shared" si="1"/>
        <v>8.554687289555487</v>
      </c>
      <c r="G41" s="116">
        <v>635165</v>
      </c>
    </row>
    <row r="42" spans="2:7" ht="15" customHeight="1">
      <c r="B42" s="25"/>
      <c r="C42" s="170" t="s">
        <v>65</v>
      </c>
      <c r="D42" s="171"/>
      <c r="E42" s="171"/>
      <c r="F42" s="171"/>
      <c r="G42" s="153"/>
    </row>
    <row r="43" spans="2:7" ht="28.5">
      <c r="B43" s="26" t="s">
        <v>63</v>
      </c>
      <c r="C43" s="20" t="s">
        <v>54</v>
      </c>
      <c r="D43" s="85" t="s">
        <v>112</v>
      </c>
      <c r="E43" s="56" t="s">
        <v>139</v>
      </c>
      <c r="F43" s="116">
        <f aca="true" t="shared" si="2" ref="F43:F53">G43/6187.3/12</f>
        <v>1.5100000538737952</v>
      </c>
      <c r="G43" s="116">
        <v>112113.88</v>
      </c>
    </row>
    <row r="44" spans="2:7" ht="28.5">
      <c r="B44" s="42" t="s">
        <v>75</v>
      </c>
      <c r="C44" s="19" t="s">
        <v>56</v>
      </c>
      <c r="D44" s="112" t="s">
        <v>69</v>
      </c>
      <c r="E44" s="56" t="s">
        <v>139</v>
      </c>
      <c r="F44" s="116">
        <f t="shared" si="2"/>
        <v>0.010000053873795248</v>
      </c>
      <c r="G44" s="116">
        <v>742.48</v>
      </c>
    </row>
    <row r="45" spans="2:7" ht="28.5">
      <c r="B45" s="42" t="s">
        <v>85</v>
      </c>
      <c r="C45" s="19" t="s">
        <v>58</v>
      </c>
      <c r="D45" s="85" t="s">
        <v>112</v>
      </c>
      <c r="E45" s="56" t="s">
        <v>139</v>
      </c>
      <c r="F45" s="116">
        <f t="shared" si="2"/>
        <v>1.5800000269368975</v>
      </c>
      <c r="G45" s="116">
        <f>117311.21</f>
        <v>117311.21</v>
      </c>
    </row>
    <row r="46" spans="2:7" ht="42.75">
      <c r="B46" s="42" t="s">
        <v>86</v>
      </c>
      <c r="C46" s="19" t="s">
        <v>124</v>
      </c>
      <c r="D46" s="124" t="s">
        <v>67</v>
      </c>
      <c r="E46" s="56" t="s">
        <v>139</v>
      </c>
      <c r="F46" s="116">
        <f t="shared" si="2"/>
        <v>0.13000002693689763</v>
      </c>
      <c r="G46" s="116">
        <v>9652.19</v>
      </c>
    </row>
    <row r="47" spans="2:7" ht="42.75">
      <c r="B47" s="45" t="s">
        <v>125</v>
      </c>
      <c r="C47" s="38" t="s">
        <v>126</v>
      </c>
      <c r="D47" s="113" t="s">
        <v>71</v>
      </c>
      <c r="E47" s="56" t="s">
        <v>139</v>
      </c>
      <c r="F47" s="116">
        <f t="shared" si="2"/>
        <v>0.7399999461262047</v>
      </c>
      <c r="G47" s="116">
        <v>54943.22</v>
      </c>
    </row>
    <row r="48" spans="2:7" ht="31.5">
      <c r="B48" s="26" t="s">
        <v>127</v>
      </c>
      <c r="C48" s="101" t="s">
        <v>30</v>
      </c>
      <c r="D48" s="111" t="s">
        <v>128</v>
      </c>
      <c r="E48" s="56" t="s">
        <v>139</v>
      </c>
      <c r="F48" s="116">
        <f t="shared" si="2"/>
        <v>3.3649999461262046</v>
      </c>
      <c r="G48" s="116">
        <v>249843.17</v>
      </c>
    </row>
    <row r="49" spans="2:7" ht="28.5">
      <c r="B49" s="26" t="s">
        <v>129</v>
      </c>
      <c r="C49" s="160" t="s">
        <v>73</v>
      </c>
      <c r="D49" s="161" t="s">
        <v>16</v>
      </c>
      <c r="E49" s="56" t="s">
        <v>139</v>
      </c>
      <c r="F49" s="116">
        <f t="shared" si="2"/>
        <v>0.28000002693689763</v>
      </c>
      <c r="G49" s="116">
        <v>20789.33</v>
      </c>
    </row>
    <row r="50" spans="2:7" ht="14.25">
      <c r="B50" s="87" t="s">
        <v>131</v>
      </c>
      <c r="C50" s="88" t="s">
        <v>130</v>
      </c>
      <c r="D50" s="114" t="s">
        <v>16</v>
      </c>
      <c r="E50" s="56" t="s">
        <v>139</v>
      </c>
      <c r="F50" s="116">
        <f t="shared" si="2"/>
        <v>0.08271984548995523</v>
      </c>
      <c r="G50" s="116">
        <f>4021.11+1060.32+1060.32</f>
        <v>6141.75</v>
      </c>
    </row>
    <row r="51" spans="2:7" ht="14.25">
      <c r="B51" s="87" t="s">
        <v>142</v>
      </c>
      <c r="C51" s="88" t="s">
        <v>132</v>
      </c>
      <c r="D51" s="114" t="s">
        <v>16</v>
      </c>
      <c r="E51" s="56" t="s">
        <v>139</v>
      </c>
      <c r="F51" s="116">
        <f t="shared" si="2"/>
        <v>0.015160490036041571</v>
      </c>
      <c r="G51" s="116">
        <f>758.63+183.5+183.5</f>
        <v>1125.63</v>
      </c>
    </row>
    <row r="52" spans="2:7" ht="14.25">
      <c r="B52" s="87" t="s">
        <v>143</v>
      </c>
      <c r="C52" s="88" t="s">
        <v>141</v>
      </c>
      <c r="D52" s="114" t="s">
        <v>16</v>
      </c>
      <c r="E52" s="56" t="s">
        <v>139</v>
      </c>
      <c r="F52" s="116">
        <f t="shared" si="2"/>
        <v>0.015497874678777496</v>
      </c>
      <c r="G52" s="116">
        <v>1150.68</v>
      </c>
    </row>
    <row r="53" spans="2:7" ht="13.5" customHeight="1">
      <c r="B53" s="87" t="s">
        <v>144</v>
      </c>
      <c r="C53" s="88" t="s">
        <v>133</v>
      </c>
      <c r="D53" s="114" t="s">
        <v>16</v>
      </c>
      <c r="E53" s="56" t="s">
        <v>139</v>
      </c>
      <c r="F53" s="116">
        <f t="shared" si="2"/>
        <v>0.7932975611332892</v>
      </c>
      <c r="G53" s="116">
        <f>35119.31+10023.47+10023.47+3734.19</f>
        <v>58900.44</v>
      </c>
    </row>
    <row r="54" spans="2:7" ht="15.75" hidden="1">
      <c r="B54" s="26"/>
      <c r="C54" s="101" t="s">
        <v>145</v>
      </c>
      <c r="D54" s="17"/>
      <c r="E54" s="86"/>
      <c r="F54" s="133"/>
      <c r="G54" s="133">
        <f>G49+G48+G47+G46+G45+G44+G43+G41+G40+G39+G38+G37+G36+G35+G34+G33+G32+G30+G29+G28+G27+G26+G25+G24+G23+G22+G21+G20+G19+G18+G17+G14+G13+G12+G11</f>
        <v>2581937.0700000003</v>
      </c>
    </row>
    <row r="55" spans="2:7" ht="15.75" hidden="1">
      <c r="B55" s="77"/>
      <c r="C55" s="84"/>
      <c r="D55" s="81"/>
      <c r="E55" s="120"/>
      <c r="F55" s="117"/>
      <c r="G55" s="96"/>
    </row>
    <row r="56" spans="2:7" ht="15.75">
      <c r="B56" s="99"/>
      <c r="C56" s="104" t="s">
        <v>134</v>
      </c>
      <c r="D56" s="105"/>
      <c r="E56" s="56"/>
      <c r="F56" s="102"/>
      <c r="G56" s="102">
        <f>G54+G53+G52+G51+G50</f>
        <v>2649255.5700000003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C31:F31"/>
    <mergeCell ref="C15:F15"/>
    <mergeCell ref="C42:F42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56"/>
  <sheetViews>
    <sheetView zoomScalePageLayoutView="0" workbookViewId="0" topLeftCell="A2">
      <selection activeCell="C36" sqref="C36"/>
    </sheetView>
  </sheetViews>
  <sheetFormatPr defaultColWidth="9.140625" defaultRowHeight="12"/>
  <cols>
    <col min="2" max="2" width="39.421875" style="0" customWidth="1"/>
    <col min="3" max="3" width="16.28125" style="0" customWidth="1"/>
    <col min="4" max="4" width="14.57421875" style="0" customWidth="1"/>
    <col min="5" max="5" width="14.28125" style="0" customWidth="1"/>
    <col min="6" max="6" width="18.57421875" style="0" customWidth="1"/>
    <col min="7" max="7" width="12.57421875" style="0" customWidth="1"/>
  </cols>
  <sheetData>
    <row r="3" ht="15">
      <c r="B3" s="1" t="s">
        <v>146</v>
      </c>
    </row>
    <row r="4" ht="15">
      <c r="B4" s="1"/>
    </row>
    <row r="5" ht="18.75">
      <c r="B5" s="14" t="s">
        <v>151</v>
      </c>
    </row>
    <row r="10" spans="1:6" ht="71.25">
      <c r="A10" s="121" t="s">
        <v>0</v>
      </c>
      <c r="B10" s="85" t="s">
        <v>88</v>
      </c>
      <c r="C10" s="56" t="s">
        <v>89</v>
      </c>
      <c r="D10" s="56" t="s">
        <v>138</v>
      </c>
      <c r="E10" s="56" t="s">
        <v>90</v>
      </c>
      <c r="F10" s="56" t="s">
        <v>135</v>
      </c>
    </row>
    <row r="11" spans="1:6" ht="14.25">
      <c r="A11" s="121" t="s">
        <v>93</v>
      </c>
      <c r="B11" s="85" t="s">
        <v>94</v>
      </c>
      <c r="C11" s="56" t="s">
        <v>95</v>
      </c>
      <c r="D11" s="56" t="s">
        <v>139</v>
      </c>
      <c r="E11" s="116">
        <f>F11/12/10737.2</f>
        <v>0.4450000155223584</v>
      </c>
      <c r="F11" s="116">
        <v>57336.65</v>
      </c>
    </row>
    <row r="12" spans="1:6" ht="72.75">
      <c r="A12" s="121" t="s">
        <v>96</v>
      </c>
      <c r="B12" s="122" t="s">
        <v>97</v>
      </c>
      <c r="C12" s="56" t="s">
        <v>95</v>
      </c>
      <c r="D12" s="56" t="s">
        <v>139</v>
      </c>
      <c r="E12" s="116">
        <f>F12/12/10737.2</f>
        <v>0.17000001552235838</v>
      </c>
      <c r="F12" s="116">
        <v>21903.89</v>
      </c>
    </row>
    <row r="13" spans="1:6" ht="28.5">
      <c r="A13" s="121" t="s">
        <v>98</v>
      </c>
      <c r="B13" s="122" t="s">
        <v>99</v>
      </c>
      <c r="C13" s="56" t="s">
        <v>95</v>
      </c>
      <c r="D13" s="56" t="s">
        <v>139</v>
      </c>
      <c r="E13" s="116">
        <f>F13/12/10737.2</f>
        <v>1.4950000155223582</v>
      </c>
      <c r="F13" s="116">
        <v>192625.37</v>
      </c>
    </row>
    <row r="14" spans="1:6" ht="42.75">
      <c r="A14" s="121" t="s">
        <v>100</v>
      </c>
      <c r="B14" s="122" t="s">
        <v>101</v>
      </c>
      <c r="C14" s="56" t="s">
        <v>95</v>
      </c>
      <c r="D14" s="56" t="s">
        <v>139</v>
      </c>
      <c r="E14" s="116">
        <f>F14/12/10737.2</f>
        <v>1.2450000155223582</v>
      </c>
      <c r="F14" s="116">
        <v>160413.77</v>
      </c>
    </row>
    <row r="15" spans="1:6" ht="15">
      <c r="A15" s="30"/>
      <c r="B15" s="168" t="s">
        <v>6</v>
      </c>
      <c r="C15" s="169"/>
      <c r="D15" s="169"/>
      <c r="E15" s="169"/>
      <c r="F15" s="151"/>
    </row>
    <row r="16" spans="1:6" ht="14.25">
      <c r="A16" s="37"/>
      <c r="B16" s="75"/>
      <c r="C16" s="76"/>
      <c r="D16" s="76"/>
      <c r="E16" s="74"/>
      <c r="F16" s="74"/>
    </row>
    <row r="17" spans="1:6" ht="31.5">
      <c r="A17" s="31" t="s">
        <v>102</v>
      </c>
      <c r="B17" s="55" t="s">
        <v>19</v>
      </c>
      <c r="C17" s="123" t="s">
        <v>67</v>
      </c>
      <c r="D17" s="56" t="s">
        <v>139</v>
      </c>
      <c r="E17" s="116">
        <f aca="true" t="shared" si="0" ref="E17:E30">F17/12/10737.2</f>
        <v>0.5499999999999999</v>
      </c>
      <c r="F17" s="116">
        <v>70865.52</v>
      </c>
    </row>
    <row r="18" spans="1:6" ht="14.25">
      <c r="A18" s="33" t="s">
        <v>103</v>
      </c>
      <c r="B18" s="12" t="s">
        <v>20</v>
      </c>
      <c r="C18" s="123" t="s">
        <v>67</v>
      </c>
      <c r="D18" s="56" t="s">
        <v>139</v>
      </c>
      <c r="E18" s="116">
        <f t="shared" si="0"/>
        <v>0.1900000310447168</v>
      </c>
      <c r="F18" s="116">
        <v>24480.82</v>
      </c>
    </row>
    <row r="19" spans="1:6" ht="28.5">
      <c r="A19" s="66" t="s">
        <v>104</v>
      </c>
      <c r="B19" s="67" t="s">
        <v>21</v>
      </c>
      <c r="C19" s="108" t="s">
        <v>67</v>
      </c>
      <c r="D19" s="56" t="s">
        <v>139</v>
      </c>
      <c r="E19" s="116">
        <f t="shared" si="0"/>
        <v>0.15999996895528318</v>
      </c>
      <c r="F19" s="116">
        <v>20615.42</v>
      </c>
    </row>
    <row r="20" spans="1:6" ht="42.75">
      <c r="A20" s="42" t="s">
        <v>105</v>
      </c>
      <c r="B20" s="19" t="s">
        <v>22</v>
      </c>
      <c r="C20" s="107" t="s">
        <v>67</v>
      </c>
      <c r="D20" s="56" t="s">
        <v>139</v>
      </c>
      <c r="E20" s="116">
        <f t="shared" si="0"/>
        <v>0.07999998447764159</v>
      </c>
      <c r="F20" s="116">
        <v>10307.71</v>
      </c>
    </row>
    <row r="21" spans="1:6" ht="42.75">
      <c r="A21" s="51" t="s">
        <v>32</v>
      </c>
      <c r="B21" s="52" t="s">
        <v>31</v>
      </c>
      <c r="C21" s="109" t="s">
        <v>67</v>
      </c>
      <c r="D21" s="56" t="s">
        <v>139</v>
      </c>
      <c r="E21" s="116">
        <f t="shared" si="0"/>
        <v>0.029999984477641593</v>
      </c>
      <c r="F21" s="116">
        <v>3865.39</v>
      </c>
    </row>
    <row r="22" spans="1:6" ht="42.75">
      <c r="A22" s="26" t="s">
        <v>33</v>
      </c>
      <c r="B22" s="20" t="s">
        <v>23</v>
      </c>
      <c r="C22" s="107" t="s">
        <v>67</v>
      </c>
      <c r="D22" s="56" t="s">
        <v>139</v>
      </c>
      <c r="E22" s="116">
        <f t="shared" si="0"/>
        <v>0.029999984477641593</v>
      </c>
      <c r="F22" s="116">
        <v>3865.39</v>
      </c>
    </row>
    <row r="23" spans="1:6" ht="28.5">
      <c r="A23" s="45" t="s">
        <v>34</v>
      </c>
      <c r="B23" s="38" t="s">
        <v>24</v>
      </c>
      <c r="C23" s="4" t="s">
        <v>112</v>
      </c>
      <c r="D23" s="56" t="s">
        <v>139</v>
      </c>
      <c r="E23" s="116">
        <f t="shared" si="0"/>
        <v>2.3799999844776414</v>
      </c>
      <c r="F23" s="116">
        <v>306654.43</v>
      </c>
    </row>
    <row r="24" spans="1:6" ht="28.5">
      <c r="A24" s="66" t="s">
        <v>35</v>
      </c>
      <c r="B24" s="67" t="s">
        <v>25</v>
      </c>
      <c r="C24" s="130" t="s">
        <v>164</v>
      </c>
      <c r="D24" s="56" t="s">
        <v>139</v>
      </c>
      <c r="E24" s="116">
        <f t="shared" si="0"/>
        <v>1.1700000155223584</v>
      </c>
      <c r="F24" s="116">
        <v>150750.29</v>
      </c>
    </row>
    <row r="25" spans="1:6" ht="28.5">
      <c r="A25" s="42" t="s">
        <v>37</v>
      </c>
      <c r="B25" s="19" t="s">
        <v>26</v>
      </c>
      <c r="C25" s="109" t="s">
        <v>67</v>
      </c>
      <c r="D25" s="56" t="s">
        <v>139</v>
      </c>
      <c r="E25" s="116">
        <f t="shared" si="0"/>
        <v>0.7299999844776416</v>
      </c>
      <c r="F25" s="116">
        <v>94057.87</v>
      </c>
    </row>
    <row r="26" spans="1:6" ht="42.75">
      <c r="A26" s="42" t="s">
        <v>39</v>
      </c>
      <c r="B26" s="19" t="s">
        <v>27</v>
      </c>
      <c r="C26" s="109" t="s">
        <v>67</v>
      </c>
      <c r="D26" s="56" t="s">
        <v>139</v>
      </c>
      <c r="E26" s="116">
        <f t="shared" si="0"/>
        <v>0.040000031044716805</v>
      </c>
      <c r="F26" s="116">
        <v>5153.86</v>
      </c>
    </row>
    <row r="27" spans="1:6" ht="42.75">
      <c r="A27" s="66" t="s">
        <v>40</v>
      </c>
      <c r="B27" s="67" t="s">
        <v>28</v>
      </c>
      <c r="C27" s="108" t="s">
        <v>67</v>
      </c>
      <c r="D27" s="56" t="s">
        <v>139</v>
      </c>
      <c r="E27" s="116">
        <f t="shared" si="0"/>
        <v>0.4299999844776416</v>
      </c>
      <c r="F27" s="116">
        <v>55403.95</v>
      </c>
    </row>
    <row r="28" spans="1:6" ht="57">
      <c r="A28" s="66" t="s">
        <v>42</v>
      </c>
      <c r="B28" s="67" t="s">
        <v>36</v>
      </c>
      <c r="C28" s="132" t="s">
        <v>67</v>
      </c>
      <c r="D28" s="56" t="s">
        <v>139</v>
      </c>
      <c r="E28" s="116">
        <f t="shared" si="0"/>
        <v>0.040000031044716805</v>
      </c>
      <c r="F28" s="116">
        <v>5153.86</v>
      </c>
    </row>
    <row r="29" spans="1:6" ht="71.25">
      <c r="A29" s="42" t="s">
        <v>44</v>
      </c>
      <c r="B29" s="19" t="s">
        <v>38</v>
      </c>
      <c r="C29" s="110" t="s">
        <v>67</v>
      </c>
      <c r="D29" s="56" t="s">
        <v>139</v>
      </c>
      <c r="E29" s="116">
        <f t="shared" si="0"/>
        <v>0.17000001552235838</v>
      </c>
      <c r="F29" s="116">
        <v>21903.89</v>
      </c>
    </row>
    <row r="30" spans="1:6" ht="28.5">
      <c r="A30" s="42" t="s">
        <v>46</v>
      </c>
      <c r="B30" s="126" t="s">
        <v>140</v>
      </c>
      <c r="C30" s="127" t="s">
        <v>112</v>
      </c>
      <c r="D30" s="115" t="s">
        <v>139</v>
      </c>
      <c r="E30" s="116">
        <f t="shared" si="0"/>
        <v>0</v>
      </c>
      <c r="F30" s="152">
        <v>0</v>
      </c>
    </row>
    <row r="31" spans="1:6" ht="15" customHeight="1">
      <c r="A31" s="125"/>
      <c r="B31" s="170" t="s">
        <v>64</v>
      </c>
      <c r="C31" s="171"/>
      <c r="D31" s="171"/>
      <c r="E31" s="171"/>
      <c r="F31" s="153"/>
    </row>
    <row r="32" spans="1:6" ht="57">
      <c r="A32" s="26" t="s">
        <v>48</v>
      </c>
      <c r="B32" s="52" t="s">
        <v>74</v>
      </c>
      <c r="C32" s="128" t="s">
        <v>112</v>
      </c>
      <c r="D32" s="129" t="s">
        <v>139</v>
      </c>
      <c r="E32" s="116">
        <f>F32/12/10737.2</f>
        <v>2.115000031044717</v>
      </c>
      <c r="F32" s="116">
        <v>272510.14</v>
      </c>
    </row>
    <row r="33" spans="1:6" ht="42.75">
      <c r="A33" s="26" t="s">
        <v>50</v>
      </c>
      <c r="B33" s="20" t="s">
        <v>113</v>
      </c>
      <c r="C33" s="100" t="s">
        <v>69</v>
      </c>
      <c r="D33" s="56" t="s">
        <v>139</v>
      </c>
      <c r="E33" s="116">
        <f>F33/12/10737.2</f>
        <v>0.5400000310447167</v>
      </c>
      <c r="F33" s="116">
        <v>69577.06</v>
      </c>
    </row>
    <row r="34" spans="1:6" ht="42.75">
      <c r="A34" s="45" t="s">
        <v>52</v>
      </c>
      <c r="B34" s="38" t="s">
        <v>41</v>
      </c>
      <c r="C34" s="4" t="s">
        <v>68</v>
      </c>
      <c r="D34" s="56" t="s">
        <v>139</v>
      </c>
      <c r="E34" s="116">
        <f>F34/12/10737.2</f>
        <v>0</v>
      </c>
      <c r="F34" s="116">
        <v>0</v>
      </c>
    </row>
    <row r="35" spans="1:6" ht="42.75">
      <c r="A35" s="66" t="s">
        <v>53</v>
      </c>
      <c r="B35" s="67" t="s">
        <v>43</v>
      </c>
      <c r="C35" s="132" t="s">
        <v>162</v>
      </c>
      <c r="D35" s="56" t="s">
        <v>139</v>
      </c>
      <c r="E35" s="116">
        <f>F35/12/10737.2</f>
        <v>1.1200000155223584</v>
      </c>
      <c r="F35" s="116">
        <v>144307.97</v>
      </c>
    </row>
    <row r="36" spans="1:7" ht="42.75">
      <c r="A36" s="42" t="s">
        <v>55</v>
      </c>
      <c r="B36" s="19" t="s">
        <v>45</v>
      </c>
      <c r="C36" s="132" t="s">
        <v>162</v>
      </c>
      <c r="D36" s="56" t="s">
        <v>139</v>
      </c>
      <c r="E36" s="116">
        <f>G36/12/10737.2</f>
        <v>0</v>
      </c>
      <c r="F36" s="116">
        <v>152038.75</v>
      </c>
      <c r="G36" s="163"/>
    </row>
    <row r="37" spans="1:6" ht="42.75">
      <c r="A37" s="42" t="s">
        <v>57</v>
      </c>
      <c r="B37" s="19" t="s">
        <v>47</v>
      </c>
      <c r="C37" s="132" t="s">
        <v>162</v>
      </c>
      <c r="D37" s="56" t="s">
        <v>139</v>
      </c>
      <c r="E37" s="116">
        <f>F37/12/10737.2</f>
        <v>0.8799999844776416</v>
      </c>
      <c r="F37" s="116">
        <v>113384.83</v>
      </c>
    </row>
    <row r="38" spans="1:6" ht="42.75">
      <c r="A38" s="42" t="s">
        <v>59</v>
      </c>
      <c r="B38" s="19" t="s">
        <v>49</v>
      </c>
      <c r="C38" s="132" t="s">
        <v>162</v>
      </c>
      <c r="D38" s="56" t="s">
        <v>139</v>
      </c>
      <c r="E38" s="116">
        <f>F38/12/10737.2</f>
        <v>1.7549999844776414</v>
      </c>
      <c r="F38" s="116">
        <v>226125.43</v>
      </c>
    </row>
    <row r="39" spans="1:6" ht="42.75">
      <c r="A39" s="42" t="s">
        <v>60</v>
      </c>
      <c r="B39" s="19" t="s">
        <v>51</v>
      </c>
      <c r="C39" s="132" t="s">
        <v>162</v>
      </c>
      <c r="D39" s="56" t="s">
        <v>139</v>
      </c>
      <c r="E39" s="116">
        <f>F39/12/10737.2</f>
        <v>1.3799999844776414</v>
      </c>
      <c r="F39" s="116">
        <v>177808.03</v>
      </c>
    </row>
    <row r="40" spans="1:6" ht="57">
      <c r="A40" s="98" t="s">
        <v>61</v>
      </c>
      <c r="B40" s="20" t="s">
        <v>121</v>
      </c>
      <c r="C40" s="111" t="s">
        <v>68</v>
      </c>
      <c r="D40" s="56" t="s">
        <v>139</v>
      </c>
      <c r="E40" s="116">
        <f>F40/12/10737.2</f>
        <v>0.2799999844776416</v>
      </c>
      <c r="F40" s="116">
        <v>36076.99</v>
      </c>
    </row>
    <row r="41" spans="1:6" ht="85.5">
      <c r="A41" s="26" t="s">
        <v>62</v>
      </c>
      <c r="B41" s="39" t="s">
        <v>122</v>
      </c>
      <c r="C41" s="158" t="s">
        <v>123</v>
      </c>
      <c r="D41" s="56" t="s">
        <v>139</v>
      </c>
      <c r="E41" s="116">
        <f>F41/12/10737.2</f>
        <v>8.54575626482385</v>
      </c>
      <c r="F41" s="116">
        <f>1101089.93</f>
        <v>1101089.93</v>
      </c>
    </row>
    <row r="42" spans="1:6" ht="15" customHeight="1">
      <c r="A42" s="25"/>
      <c r="B42" s="170" t="s">
        <v>65</v>
      </c>
      <c r="C42" s="171"/>
      <c r="D42" s="171"/>
      <c r="E42" s="171"/>
      <c r="F42" s="153"/>
    </row>
    <row r="43" spans="1:6" ht="42.75">
      <c r="A43" s="26" t="s">
        <v>63</v>
      </c>
      <c r="B43" s="20" t="s">
        <v>54</v>
      </c>
      <c r="C43" s="85" t="s">
        <v>112</v>
      </c>
      <c r="D43" s="56" t="s">
        <v>139</v>
      </c>
      <c r="E43" s="116">
        <f aca="true" t="shared" si="1" ref="E43:E53">F43/12/10737.2</f>
        <v>1.5099999689552832</v>
      </c>
      <c r="F43" s="116">
        <v>194558.06</v>
      </c>
    </row>
    <row r="44" spans="1:6" ht="42.75">
      <c r="A44" s="42" t="s">
        <v>75</v>
      </c>
      <c r="B44" s="19" t="s">
        <v>56</v>
      </c>
      <c r="C44" s="112" t="s">
        <v>69</v>
      </c>
      <c r="D44" s="56" t="s">
        <v>139</v>
      </c>
      <c r="E44" s="116">
        <f t="shared" si="1"/>
        <v>0.009999968955283189</v>
      </c>
      <c r="F44" s="116">
        <v>1288.46</v>
      </c>
    </row>
    <row r="45" spans="1:6" ht="42.75">
      <c r="A45" s="42" t="s">
        <v>85</v>
      </c>
      <c r="B45" s="19" t="s">
        <v>58</v>
      </c>
      <c r="C45" s="16" t="s">
        <v>112</v>
      </c>
      <c r="D45" s="56" t="s">
        <v>139</v>
      </c>
      <c r="E45" s="116">
        <f t="shared" si="1"/>
        <v>1.5799999844776416</v>
      </c>
      <c r="F45" s="116">
        <v>203577.31</v>
      </c>
    </row>
    <row r="46" spans="1:6" ht="57">
      <c r="A46" s="42" t="s">
        <v>86</v>
      </c>
      <c r="B46" s="19" t="s">
        <v>124</v>
      </c>
      <c r="C46" s="124" t="s">
        <v>67</v>
      </c>
      <c r="D46" s="56" t="s">
        <v>139</v>
      </c>
      <c r="E46" s="116">
        <f t="shared" si="1"/>
        <v>0.12999998447764158</v>
      </c>
      <c r="F46" s="116">
        <v>16750.03</v>
      </c>
    </row>
    <row r="47" spans="1:6" ht="57">
      <c r="A47" s="45" t="s">
        <v>125</v>
      </c>
      <c r="B47" s="38" t="s">
        <v>126</v>
      </c>
      <c r="C47" s="113" t="s">
        <v>71</v>
      </c>
      <c r="D47" s="56" t="s">
        <v>139</v>
      </c>
      <c r="E47" s="116">
        <f t="shared" si="1"/>
        <v>0.7400000310447167</v>
      </c>
      <c r="F47" s="116">
        <v>95346.34</v>
      </c>
    </row>
    <row r="48" spans="1:6" ht="31.5">
      <c r="A48" s="26" t="s">
        <v>127</v>
      </c>
      <c r="B48" s="101" t="s">
        <v>30</v>
      </c>
      <c r="C48" s="111" t="s">
        <v>128</v>
      </c>
      <c r="D48" s="56" t="s">
        <v>139</v>
      </c>
      <c r="E48" s="116">
        <f t="shared" si="1"/>
        <v>3.365000031044717</v>
      </c>
      <c r="F48" s="116">
        <v>433568.14</v>
      </c>
    </row>
    <row r="49" spans="1:6" ht="28.5">
      <c r="A49" s="26" t="s">
        <v>129</v>
      </c>
      <c r="B49" s="160" t="s">
        <v>73</v>
      </c>
      <c r="C49" s="161" t="s">
        <v>16</v>
      </c>
      <c r="D49" s="56" t="s">
        <v>139</v>
      </c>
      <c r="E49" s="116">
        <f t="shared" si="1"/>
        <v>0.2799999844776416</v>
      </c>
      <c r="F49" s="116">
        <v>36076.99</v>
      </c>
    </row>
    <row r="50" spans="1:6" ht="14.25">
      <c r="A50" s="87" t="s">
        <v>131</v>
      </c>
      <c r="B50" s="88" t="s">
        <v>130</v>
      </c>
      <c r="C50" s="114" t="s">
        <v>16</v>
      </c>
      <c r="D50" s="56" t="s">
        <v>139</v>
      </c>
      <c r="E50" s="116">
        <f t="shared" si="1"/>
        <v>0.0713561263644153</v>
      </c>
      <c r="F50" s="116">
        <f>6271.74+1461.12+1461.12</f>
        <v>9193.98</v>
      </c>
    </row>
    <row r="51" spans="1:6" ht="14.25">
      <c r="A51" s="87" t="s">
        <v>142</v>
      </c>
      <c r="B51" s="88" t="s">
        <v>132</v>
      </c>
      <c r="C51" s="114" t="s">
        <v>16</v>
      </c>
      <c r="D51" s="56" t="s">
        <v>139</v>
      </c>
      <c r="E51" s="116">
        <f t="shared" si="1"/>
        <v>0.013216822511145051</v>
      </c>
      <c r="F51" s="116">
        <f>252.88+252.88+1197.18</f>
        <v>1702.94</v>
      </c>
    </row>
    <row r="52" spans="1:6" ht="14.25">
      <c r="A52" s="87" t="s">
        <v>143</v>
      </c>
      <c r="B52" s="88" t="s">
        <v>141</v>
      </c>
      <c r="C52" s="114" t="s">
        <v>16</v>
      </c>
      <c r="D52" s="56" t="s">
        <v>139</v>
      </c>
      <c r="E52" s="116">
        <f t="shared" si="1"/>
        <v>0.017668790125296475</v>
      </c>
      <c r="F52" s="116">
        <v>2276.56</v>
      </c>
    </row>
    <row r="53" spans="1:6" ht="12.75" customHeight="1">
      <c r="A53" s="87" t="s">
        <v>144</v>
      </c>
      <c r="B53" s="88" t="s">
        <v>133</v>
      </c>
      <c r="C53" s="114" t="s">
        <v>16</v>
      </c>
      <c r="D53" s="56" t="s">
        <v>139</v>
      </c>
      <c r="E53" s="116">
        <f t="shared" si="1"/>
        <v>0.850599163034435</v>
      </c>
      <c r="F53" s="116">
        <f>6855.58+67952.42+17394.32+17394.32</f>
        <v>109596.64000000001</v>
      </c>
    </row>
    <row r="54" spans="1:6" ht="31.5" hidden="1">
      <c r="A54" s="26"/>
      <c r="B54" s="101" t="s">
        <v>145</v>
      </c>
      <c r="C54" s="17"/>
      <c r="D54" s="86"/>
      <c r="E54" s="133"/>
      <c r="F54" s="133" t="e">
        <f>F49+F48+F47+F46+F45+F44+F43+F41+F40+F39+F38+F37+#REF!+F35+F34+F33+F32+F30+F29+F28+F27+F26+F25+F24+F23+F22+F21+F20+F19+F18+F17+F14+F13+F12+F11</f>
        <v>#REF!</v>
      </c>
    </row>
    <row r="55" spans="1:6" ht="15.75" hidden="1">
      <c r="A55" s="77"/>
      <c r="B55" s="84"/>
      <c r="C55" s="81"/>
      <c r="D55" s="120"/>
      <c r="E55" s="117"/>
      <c r="F55" s="96"/>
    </row>
    <row r="56" spans="1:6" ht="31.5">
      <c r="A56" s="99"/>
      <c r="B56" s="104" t="s">
        <v>134</v>
      </c>
      <c r="C56" s="105"/>
      <c r="D56" s="56"/>
      <c r="E56" s="102"/>
      <c r="F56" s="102">
        <f>SUM(F11:F53)</f>
        <v>4602212.66</v>
      </c>
    </row>
  </sheetData>
  <sheetProtection/>
  <mergeCells count="3">
    <mergeCell ref="B31:E31"/>
    <mergeCell ref="B15:E15"/>
    <mergeCell ref="B42:E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G63"/>
  <sheetViews>
    <sheetView zoomScalePageLayoutView="0" workbookViewId="0" topLeftCell="A1">
      <selection activeCell="C33" sqref="C33"/>
    </sheetView>
  </sheetViews>
  <sheetFormatPr defaultColWidth="9.140625" defaultRowHeight="12"/>
  <cols>
    <col min="2" max="2" width="44.140625" style="0" customWidth="1"/>
    <col min="3" max="3" width="16.7109375" style="0" customWidth="1"/>
    <col min="4" max="4" width="10.28125" style="0" customWidth="1"/>
    <col min="6" max="6" width="20.28125" style="0" customWidth="1"/>
    <col min="7" max="7" width="11.57421875" style="0" customWidth="1"/>
  </cols>
  <sheetData>
    <row r="4" ht="15">
      <c r="B4" s="1" t="s">
        <v>146</v>
      </c>
    </row>
    <row r="5" ht="15">
      <c r="B5" s="1"/>
    </row>
    <row r="6" ht="18.75">
      <c r="B6" s="14" t="s">
        <v>152</v>
      </c>
    </row>
    <row r="9" ht="2.25" customHeight="1"/>
    <row r="10" ht="12" hidden="1"/>
    <row r="11" ht="12" hidden="1"/>
    <row r="12" ht="12" hidden="1"/>
    <row r="13" ht="12" hidden="1"/>
    <row r="14" ht="12" hidden="1"/>
    <row r="15" ht="12" hidden="1"/>
    <row r="16" ht="12" hidden="1"/>
    <row r="17" ht="12" hidden="1"/>
    <row r="18" ht="12" hidden="1"/>
    <row r="19" spans="1:6" ht="99.75">
      <c r="A19" s="121" t="s">
        <v>0</v>
      </c>
      <c r="B19" s="85" t="s">
        <v>88</v>
      </c>
      <c r="C19" s="56" t="s">
        <v>89</v>
      </c>
      <c r="D19" s="56" t="s">
        <v>138</v>
      </c>
      <c r="E19" s="56" t="s">
        <v>90</v>
      </c>
      <c r="F19" s="56" t="s">
        <v>135</v>
      </c>
    </row>
    <row r="20" spans="1:6" ht="14.25">
      <c r="A20" s="121" t="s">
        <v>93</v>
      </c>
      <c r="B20" s="85" t="s">
        <v>94</v>
      </c>
      <c r="C20" s="56" t="s">
        <v>95</v>
      </c>
      <c r="D20" s="56" t="s">
        <v>139</v>
      </c>
      <c r="E20" s="116">
        <f>F20/7729/12</f>
        <v>0.445</v>
      </c>
      <c r="F20" s="116">
        <v>41272.86</v>
      </c>
    </row>
    <row r="21" spans="1:6" ht="72" customHeight="1">
      <c r="A21" s="121" t="s">
        <v>96</v>
      </c>
      <c r="B21" s="122" t="s">
        <v>97</v>
      </c>
      <c r="C21" s="56" t="s">
        <v>95</v>
      </c>
      <c r="D21" s="56" t="s">
        <v>139</v>
      </c>
      <c r="E21" s="116">
        <f>F21/7729/12</f>
        <v>0.17</v>
      </c>
      <c r="F21" s="116">
        <v>15767.16</v>
      </c>
    </row>
    <row r="22" spans="1:6" ht="14.25">
      <c r="A22" s="121" t="s">
        <v>98</v>
      </c>
      <c r="B22" s="122" t="s">
        <v>99</v>
      </c>
      <c r="C22" s="56" t="s">
        <v>95</v>
      </c>
      <c r="D22" s="56" t="s">
        <v>139</v>
      </c>
      <c r="E22" s="116">
        <f>F22/7729/12</f>
        <v>1.495</v>
      </c>
      <c r="F22" s="116">
        <v>138658.26</v>
      </c>
    </row>
    <row r="23" spans="1:6" ht="42.75">
      <c r="A23" s="121" t="s">
        <v>100</v>
      </c>
      <c r="B23" s="122" t="s">
        <v>101</v>
      </c>
      <c r="C23" s="56" t="s">
        <v>95</v>
      </c>
      <c r="D23" s="56" t="s">
        <v>139</v>
      </c>
      <c r="E23" s="116">
        <f>F23/7729/12</f>
        <v>1.2449999999999999</v>
      </c>
      <c r="F23" s="116">
        <v>115471.26</v>
      </c>
    </row>
    <row r="24" spans="1:6" ht="15">
      <c r="A24" s="30"/>
      <c r="B24" s="168" t="s">
        <v>6</v>
      </c>
      <c r="C24" s="169"/>
      <c r="D24" s="169"/>
      <c r="E24" s="169"/>
      <c r="F24" s="151"/>
    </row>
    <row r="25" spans="1:6" ht="14.25">
      <c r="A25" s="37"/>
      <c r="B25" s="75"/>
      <c r="C25" s="76"/>
      <c r="D25" s="76"/>
      <c r="E25" s="74"/>
      <c r="F25" s="74"/>
    </row>
    <row r="26" spans="1:6" ht="31.5">
      <c r="A26" s="31" t="s">
        <v>102</v>
      </c>
      <c r="B26" s="55" t="s">
        <v>19</v>
      </c>
      <c r="C26" s="123" t="s">
        <v>67</v>
      </c>
      <c r="D26" s="56" t="s">
        <v>139</v>
      </c>
      <c r="E26" s="116">
        <f aca="true" t="shared" si="0" ref="E26:E39">F26/7729/12</f>
        <v>0.55</v>
      </c>
      <c r="F26" s="116">
        <v>51011.4</v>
      </c>
    </row>
    <row r="27" spans="1:6" ht="14.25">
      <c r="A27" s="33" t="s">
        <v>103</v>
      </c>
      <c r="B27" s="12" t="s">
        <v>20</v>
      </c>
      <c r="C27" s="123" t="s">
        <v>67</v>
      </c>
      <c r="D27" s="56" t="s">
        <v>139</v>
      </c>
      <c r="E27" s="116">
        <f t="shared" si="0"/>
        <v>0.18999999999999997</v>
      </c>
      <c r="F27" s="116">
        <v>17622.12</v>
      </c>
    </row>
    <row r="28" spans="1:6" ht="28.5">
      <c r="A28" s="66" t="s">
        <v>104</v>
      </c>
      <c r="B28" s="67" t="s">
        <v>21</v>
      </c>
      <c r="C28" s="108" t="s">
        <v>67</v>
      </c>
      <c r="D28" s="56" t="s">
        <v>139</v>
      </c>
      <c r="E28" s="116">
        <f t="shared" si="0"/>
        <v>0.16</v>
      </c>
      <c r="F28" s="116">
        <v>14839.68</v>
      </c>
    </row>
    <row r="29" spans="1:6" ht="42.75">
      <c r="A29" s="42" t="s">
        <v>105</v>
      </c>
      <c r="B29" s="19" t="s">
        <v>22</v>
      </c>
      <c r="C29" s="107" t="s">
        <v>67</v>
      </c>
      <c r="D29" s="56" t="s">
        <v>139</v>
      </c>
      <c r="E29" s="116">
        <f t="shared" si="0"/>
        <v>0.08</v>
      </c>
      <c r="F29" s="116">
        <v>7419.84</v>
      </c>
    </row>
    <row r="30" spans="1:6" ht="42.75">
      <c r="A30" s="51" t="s">
        <v>32</v>
      </c>
      <c r="B30" s="52" t="s">
        <v>31</v>
      </c>
      <c r="C30" s="109" t="s">
        <v>67</v>
      </c>
      <c r="D30" s="56" t="s">
        <v>139</v>
      </c>
      <c r="E30" s="116">
        <f t="shared" si="0"/>
        <v>0.03</v>
      </c>
      <c r="F30" s="116">
        <v>2782.44</v>
      </c>
    </row>
    <row r="31" spans="1:6" ht="42.75">
      <c r="A31" s="26" t="s">
        <v>33</v>
      </c>
      <c r="B31" s="20" t="s">
        <v>23</v>
      </c>
      <c r="C31" s="107" t="s">
        <v>67</v>
      </c>
      <c r="D31" s="56" t="s">
        <v>139</v>
      </c>
      <c r="E31" s="116">
        <f t="shared" si="0"/>
        <v>0.03</v>
      </c>
      <c r="F31" s="116">
        <v>2782.44</v>
      </c>
    </row>
    <row r="32" spans="1:6" ht="28.5">
      <c r="A32" s="45" t="s">
        <v>34</v>
      </c>
      <c r="B32" s="38" t="s">
        <v>24</v>
      </c>
      <c r="C32" s="4" t="s">
        <v>112</v>
      </c>
      <c r="D32" s="56" t="s">
        <v>139</v>
      </c>
      <c r="E32" s="116">
        <f t="shared" si="0"/>
        <v>2.38</v>
      </c>
      <c r="F32" s="116">
        <v>220740.24</v>
      </c>
    </row>
    <row r="33" spans="1:6" ht="28.5">
      <c r="A33" s="66" t="s">
        <v>35</v>
      </c>
      <c r="B33" s="160" t="s">
        <v>25</v>
      </c>
      <c r="C33" s="85" t="s">
        <v>112</v>
      </c>
      <c r="D33" s="56" t="s">
        <v>139</v>
      </c>
      <c r="E33" s="116">
        <f t="shared" si="0"/>
        <v>1.1700000000000002</v>
      </c>
      <c r="F33" s="116">
        <v>108515.16</v>
      </c>
    </row>
    <row r="34" spans="1:6" ht="28.5">
      <c r="A34" s="42" t="s">
        <v>37</v>
      </c>
      <c r="B34" s="19" t="s">
        <v>26</v>
      </c>
      <c r="C34" s="109" t="s">
        <v>67</v>
      </c>
      <c r="D34" s="56" t="s">
        <v>139</v>
      </c>
      <c r="E34" s="116">
        <f t="shared" si="0"/>
        <v>0.73</v>
      </c>
      <c r="F34" s="116">
        <v>67706.04</v>
      </c>
    </row>
    <row r="35" spans="1:6" ht="28.5">
      <c r="A35" s="42" t="s">
        <v>39</v>
      </c>
      <c r="B35" s="19" t="s">
        <v>27</v>
      </c>
      <c r="C35" s="109" t="s">
        <v>67</v>
      </c>
      <c r="D35" s="56" t="s">
        <v>139</v>
      </c>
      <c r="E35" s="116">
        <f t="shared" si="0"/>
        <v>0.04</v>
      </c>
      <c r="F35" s="116">
        <v>3709.92</v>
      </c>
    </row>
    <row r="36" spans="1:6" ht="42.75">
      <c r="A36" s="66" t="s">
        <v>40</v>
      </c>
      <c r="B36" s="67" t="s">
        <v>28</v>
      </c>
      <c r="C36" s="108" t="s">
        <v>67</v>
      </c>
      <c r="D36" s="56" t="s">
        <v>139</v>
      </c>
      <c r="E36" s="116">
        <f t="shared" si="0"/>
        <v>0.43</v>
      </c>
      <c r="F36" s="116">
        <v>39881.64</v>
      </c>
    </row>
    <row r="37" spans="1:6" ht="57">
      <c r="A37" s="66" t="s">
        <v>42</v>
      </c>
      <c r="B37" s="67" t="s">
        <v>36</v>
      </c>
      <c r="C37" s="132" t="s">
        <v>67</v>
      </c>
      <c r="D37" s="56" t="s">
        <v>139</v>
      </c>
      <c r="E37" s="116">
        <f t="shared" si="0"/>
        <v>0.04</v>
      </c>
      <c r="F37" s="116">
        <v>3709.92</v>
      </c>
    </row>
    <row r="38" spans="1:6" ht="71.25">
      <c r="A38" s="42" t="s">
        <v>44</v>
      </c>
      <c r="B38" s="155" t="s">
        <v>38</v>
      </c>
      <c r="C38" s="111" t="s">
        <v>67</v>
      </c>
      <c r="D38" s="56" t="s">
        <v>139</v>
      </c>
      <c r="E38" s="116">
        <f t="shared" si="0"/>
        <v>0.17</v>
      </c>
      <c r="F38" s="116">
        <v>15767.16</v>
      </c>
    </row>
    <row r="39" spans="1:6" ht="14.25">
      <c r="A39" s="42" t="s">
        <v>46</v>
      </c>
      <c r="B39" s="126" t="s">
        <v>140</v>
      </c>
      <c r="C39" s="127" t="s">
        <v>112</v>
      </c>
      <c r="D39" s="115" t="s">
        <v>139</v>
      </c>
      <c r="E39" s="116">
        <f t="shared" si="0"/>
        <v>10.245276987104843</v>
      </c>
      <c r="F39" s="152">
        <v>950228.95</v>
      </c>
    </row>
    <row r="40" spans="1:6" ht="15" customHeight="1">
      <c r="A40" s="125"/>
      <c r="B40" s="170" t="s">
        <v>64</v>
      </c>
      <c r="C40" s="171"/>
      <c r="D40" s="171"/>
      <c r="E40" s="171"/>
      <c r="F40" s="153"/>
    </row>
    <row r="41" spans="1:6" ht="42.75">
      <c r="A41" s="26" t="s">
        <v>48</v>
      </c>
      <c r="B41" s="52" t="s">
        <v>74</v>
      </c>
      <c r="C41" s="128" t="s">
        <v>112</v>
      </c>
      <c r="D41" s="129" t="s">
        <v>139</v>
      </c>
      <c r="E41" s="116">
        <f>F41/7729/12</f>
        <v>2.1149999999999998</v>
      </c>
      <c r="F41" s="116">
        <v>196162.02</v>
      </c>
    </row>
    <row r="42" spans="1:6" ht="42.75">
      <c r="A42" s="26" t="s">
        <v>50</v>
      </c>
      <c r="B42" s="20" t="s">
        <v>113</v>
      </c>
      <c r="C42" s="100" t="s">
        <v>69</v>
      </c>
      <c r="D42" s="56" t="s">
        <v>139</v>
      </c>
      <c r="E42" s="116">
        <f>F42/7729/12</f>
        <v>0.5399999999999999</v>
      </c>
      <c r="F42" s="116">
        <v>50083.92</v>
      </c>
    </row>
    <row r="43" spans="1:7" ht="42.75">
      <c r="A43" s="45" t="s">
        <v>52</v>
      </c>
      <c r="B43" s="38" t="s">
        <v>41</v>
      </c>
      <c r="C43" s="4" t="s">
        <v>68</v>
      </c>
      <c r="D43" s="56" t="s">
        <v>139</v>
      </c>
      <c r="E43" s="116">
        <f>G43/7729/12</f>
        <v>0</v>
      </c>
      <c r="F43" s="116">
        <v>0</v>
      </c>
      <c r="G43" s="163"/>
    </row>
    <row r="44" spans="1:7" ht="42.75">
      <c r="A44" s="66" t="s">
        <v>53</v>
      </c>
      <c r="B44" s="67" t="s">
        <v>43</v>
      </c>
      <c r="C44" s="132" t="s">
        <v>162</v>
      </c>
      <c r="D44" s="56" t="s">
        <v>139</v>
      </c>
      <c r="E44" s="116">
        <f>G44/7729/12</f>
        <v>0</v>
      </c>
      <c r="F44" s="116">
        <v>103877.76</v>
      </c>
      <c r="G44" s="163"/>
    </row>
    <row r="45" spans="1:7" ht="42.75">
      <c r="A45" s="42" t="s">
        <v>55</v>
      </c>
      <c r="B45" s="19" t="s">
        <v>45</v>
      </c>
      <c r="C45" s="132" t="s">
        <v>162</v>
      </c>
      <c r="D45" s="56" t="s">
        <v>139</v>
      </c>
      <c r="E45" s="116">
        <f>G45/7729/12</f>
        <v>0</v>
      </c>
      <c r="F45" s="116">
        <v>109442.64</v>
      </c>
      <c r="G45" s="163"/>
    </row>
    <row r="46" spans="1:6" ht="42.75">
      <c r="A46" s="42" t="s">
        <v>57</v>
      </c>
      <c r="B46" s="19" t="s">
        <v>47</v>
      </c>
      <c r="C46" s="132" t="s">
        <v>162</v>
      </c>
      <c r="D46" s="56" t="s">
        <v>139</v>
      </c>
      <c r="E46" s="116">
        <f>F46/7729/12</f>
        <v>0.88</v>
      </c>
      <c r="F46" s="116">
        <v>81618.24</v>
      </c>
    </row>
    <row r="47" spans="1:6" ht="42.75">
      <c r="A47" s="42" t="s">
        <v>59</v>
      </c>
      <c r="B47" s="19" t="s">
        <v>49</v>
      </c>
      <c r="C47" s="132" t="s">
        <v>162</v>
      </c>
      <c r="D47" s="56" t="s">
        <v>139</v>
      </c>
      <c r="E47" s="116">
        <f>F47/7729/12</f>
        <v>1.755</v>
      </c>
      <c r="F47" s="116">
        <v>162772.74</v>
      </c>
    </row>
    <row r="48" spans="1:6" ht="42.75">
      <c r="A48" s="42" t="s">
        <v>60</v>
      </c>
      <c r="B48" s="19" t="s">
        <v>51</v>
      </c>
      <c r="C48" s="132" t="s">
        <v>162</v>
      </c>
      <c r="D48" s="56" t="s">
        <v>139</v>
      </c>
      <c r="E48" s="116">
        <f>F48/7729/12</f>
        <v>1.3800000000000001</v>
      </c>
      <c r="F48" s="116">
        <v>127992.24</v>
      </c>
    </row>
    <row r="49" spans="1:6" ht="57">
      <c r="A49" s="98" t="s">
        <v>61</v>
      </c>
      <c r="B49" s="20" t="s">
        <v>121</v>
      </c>
      <c r="C49" s="111" t="s">
        <v>68</v>
      </c>
      <c r="D49" s="56" t="s">
        <v>139</v>
      </c>
      <c r="E49" s="116">
        <f>F49/7729/12</f>
        <v>0.27999999999999997</v>
      </c>
      <c r="F49" s="116">
        <v>25969.44</v>
      </c>
    </row>
    <row r="50" spans="1:6" ht="85.5">
      <c r="A50" s="26" t="s">
        <v>62</v>
      </c>
      <c r="B50" s="39" t="s">
        <v>122</v>
      </c>
      <c r="C50" s="158" t="s">
        <v>123</v>
      </c>
      <c r="D50" s="56" t="s">
        <v>139</v>
      </c>
      <c r="E50" s="116">
        <f>F50/7729/12</f>
        <v>8.55160941475827</v>
      </c>
      <c r="F50" s="116">
        <v>793144.67</v>
      </c>
    </row>
    <row r="51" spans="1:6" ht="15" customHeight="1">
      <c r="A51" s="25"/>
      <c r="B51" s="170" t="s">
        <v>65</v>
      </c>
      <c r="C51" s="171"/>
      <c r="D51" s="171"/>
      <c r="E51" s="171"/>
      <c r="F51" s="153"/>
    </row>
    <row r="52" spans="1:6" ht="42.75">
      <c r="A52" s="26" t="s">
        <v>63</v>
      </c>
      <c r="B52" s="20" t="s">
        <v>54</v>
      </c>
      <c r="C52" s="85" t="s">
        <v>112</v>
      </c>
      <c r="D52" s="56" t="s">
        <v>139</v>
      </c>
      <c r="E52" s="116">
        <f aca="true" t="shared" si="1" ref="E52:E62">F52/7729/12</f>
        <v>1.51</v>
      </c>
      <c r="F52" s="116">
        <v>140049.48</v>
      </c>
    </row>
    <row r="53" spans="1:6" ht="42.75">
      <c r="A53" s="42" t="s">
        <v>75</v>
      </c>
      <c r="B53" s="19" t="s">
        <v>56</v>
      </c>
      <c r="C53" s="112" t="s">
        <v>69</v>
      </c>
      <c r="D53" s="56" t="s">
        <v>139</v>
      </c>
      <c r="E53" s="116">
        <f t="shared" si="1"/>
        <v>0.01</v>
      </c>
      <c r="F53" s="116">
        <v>927.48</v>
      </c>
    </row>
    <row r="54" spans="1:6" ht="42.75">
      <c r="A54" s="42" t="s">
        <v>85</v>
      </c>
      <c r="B54" s="19" t="s">
        <v>58</v>
      </c>
      <c r="C54" s="16" t="s">
        <v>112</v>
      </c>
      <c r="D54" s="56" t="s">
        <v>139</v>
      </c>
      <c r="E54" s="116">
        <f t="shared" si="1"/>
        <v>1.58</v>
      </c>
      <c r="F54" s="116">
        <v>146541.84</v>
      </c>
    </row>
    <row r="55" spans="1:6" ht="42.75">
      <c r="A55" s="42" t="s">
        <v>86</v>
      </c>
      <c r="B55" s="19" t="s">
        <v>124</v>
      </c>
      <c r="C55" s="124" t="s">
        <v>67</v>
      </c>
      <c r="D55" s="56" t="s">
        <v>139</v>
      </c>
      <c r="E55" s="116">
        <f t="shared" si="1"/>
        <v>0.13</v>
      </c>
      <c r="F55" s="116">
        <v>12057.24</v>
      </c>
    </row>
    <row r="56" spans="1:6" ht="42.75">
      <c r="A56" s="45" t="s">
        <v>125</v>
      </c>
      <c r="B56" s="38" t="s">
        <v>126</v>
      </c>
      <c r="C56" s="113" t="s">
        <v>71</v>
      </c>
      <c r="D56" s="56" t="s">
        <v>139</v>
      </c>
      <c r="E56" s="116">
        <f t="shared" si="1"/>
        <v>0.7400000000000001</v>
      </c>
      <c r="F56" s="116">
        <v>68633.52</v>
      </c>
    </row>
    <row r="57" spans="1:6" ht="31.5">
      <c r="A57" s="26" t="s">
        <v>127</v>
      </c>
      <c r="B57" s="101" t="s">
        <v>30</v>
      </c>
      <c r="C57" s="111" t="s">
        <v>128</v>
      </c>
      <c r="D57" s="56" t="s">
        <v>139</v>
      </c>
      <c r="E57" s="116">
        <f t="shared" si="1"/>
        <v>3.365</v>
      </c>
      <c r="F57" s="116">
        <v>312097.02</v>
      </c>
    </row>
    <row r="58" spans="1:6" ht="28.5">
      <c r="A58" s="26" t="s">
        <v>129</v>
      </c>
      <c r="B58" s="160" t="s">
        <v>73</v>
      </c>
      <c r="C58" s="161" t="s">
        <v>16</v>
      </c>
      <c r="D58" s="56" t="s">
        <v>139</v>
      </c>
      <c r="E58" s="116">
        <f t="shared" si="1"/>
        <v>0.27999999999999997</v>
      </c>
      <c r="F58" s="116">
        <v>25969.44</v>
      </c>
    </row>
    <row r="59" spans="1:6" ht="14.25">
      <c r="A59" s="87" t="s">
        <v>131</v>
      </c>
      <c r="B59" s="88" t="s">
        <v>130</v>
      </c>
      <c r="C59" s="114" t="s">
        <v>16</v>
      </c>
      <c r="D59" s="56" t="s">
        <v>139</v>
      </c>
      <c r="E59" s="116">
        <f t="shared" si="1"/>
        <v>0.100802497088886</v>
      </c>
      <c r="F59" s="116">
        <f>7081.99+1133.62+1133.62</f>
        <v>9349.23</v>
      </c>
    </row>
    <row r="60" spans="1:6" ht="14.25">
      <c r="A60" s="87" t="s">
        <v>142</v>
      </c>
      <c r="B60" s="88" t="s">
        <v>132</v>
      </c>
      <c r="C60" s="114" t="s">
        <v>16</v>
      </c>
      <c r="D60" s="56" t="s">
        <v>139</v>
      </c>
      <c r="E60" s="116">
        <f t="shared" si="1"/>
        <v>0.018919653253978524</v>
      </c>
      <c r="F60" s="116">
        <f>1362.34+196.21+196.21</f>
        <v>1754.76</v>
      </c>
    </row>
    <row r="61" spans="1:6" ht="14.25">
      <c r="A61" s="87" t="s">
        <v>143</v>
      </c>
      <c r="B61" s="88" t="s">
        <v>141</v>
      </c>
      <c r="C61" s="114" t="s">
        <v>16</v>
      </c>
      <c r="D61" s="56" t="s">
        <v>139</v>
      </c>
      <c r="E61" s="116">
        <f t="shared" si="1"/>
        <v>0.028848061413723206</v>
      </c>
      <c r="F61" s="116">
        <v>2675.6</v>
      </c>
    </row>
    <row r="62" spans="1:6" ht="14.25">
      <c r="A62" s="87" t="s">
        <v>144</v>
      </c>
      <c r="B62" s="88" t="s">
        <v>133</v>
      </c>
      <c r="C62" s="114" t="s">
        <v>16</v>
      </c>
      <c r="D62" s="56" t="s">
        <v>139</v>
      </c>
      <c r="E62" s="116">
        <f t="shared" si="1"/>
        <v>0.8876798421529305</v>
      </c>
      <c r="F62" s="116">
        <f>71050.89+12452.94+12452.94-13626.24</f>
        <v>82330.53</v>
      </c>
    </row>
    <row r="63" spans="1:6" ht="31.5">
      <c r="A63" s="99"/>
      <c r="B63" s="104" t="s">
        <v>134</v>
      </c>
      <c r="C63" s="105"/>
      <c r="D63" s="56"/>
      <c r="E63" s="102"/>
      <c r="F63" s="102">
        <f>SUM(F20:F62)</f>
        <v>4271336.300000001</v>
      </c>
    </row>
  </sheetData>
  <sheetProtection/>
  <mergeCells count="3">
    <mergeCell ref="B40:E40"/>
    <mergeCell ref="B24:E24"/>
    <mergeCell ref="B51:E5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F65"/>
  <sheetViews>
    <sheetView zoomScalePageLayoutView="0" workbookViewId="0" topLeftCell="A1">
      <selection activeCell="C19" sqref="C19"/>
    </sheetView>
  </sheetViews>
  <sheetFormatPr defaultColWidth="9.140625" defaultRowHeight="12"/>
  <cols>
    <col min="2" max="2" width="38.421875" style="0" customWidth="1"/>
    <col min="3" max="3" width="14.140625" style="0" customWidth="1"/>
    <col min="4" max="4" width="14.00390625" style="0" customWidth="1"/>
    <col min="5" max="5" width="12.57421875" style="0" customWidth="1"/>
    <col min="6" max="6" width="15.7109375" style="0" customWidth="1"/>
  </cols>
  <sheetData>
    <row r="3" ht="15">
      <c r="B3" s="1" t="s">
        <v>146</v>
      </c>
    </row>
    <row r="4" ht="15">
      <c r="B4" s="1"/>
    </row>
    <row r="5" ht="18.75">
      <c r="B5" s="14" t="s">
        <v>165</v>
      </c>
    </row>
    <row r="10" ht="8.25" customHeight="1"/>
    <row r="11" ht="12" hidden="1"/>
    <row r="12" ht="12" hidden="1"/>
    <row r="13" ht="12" hidden="1"/>
    <row r="14" ht="12" hidden="1"/>
    <row r="15" ht="12" hidden="1"/>
    <row r="16" ht="12" hidden="1"/>
    <row r="17" ht="12" hidden="1"/>
    <row r="18" ht="12" hidden="1"/>
    <row r="19" spans="1:6" ht="85.5">
      <c r="A19" s="121" t="s">
        <v>0</v>
      </c>
      <c r="B19" s="85" t="s">
        <v>88</v>
      </c>
      <c r="C19" s="56" t="s">
        <v>89</v>
      </c>
      <c r="D19" s="56" t="s">
        <v>138</v>
      </c>
      <c r="E19" s="56" t="s">
        <v>90</v>
      </c>
      <c r="F19" s="56" t="s">
        <v>135</v>
      </c>
    </row>
    <row r="20" spans="1:6" ht="14.25">
      <c r="A20" s="121" t="s">
        <v>93</v>
      </c>
      <c r="B20" s="85" t="s">
        <v>94</v>
      </c>
      <c r="C20" s="56" t="s">
        <v>95</v>
      </c>
      <c r="D20" s="56" t="s">
        <v>139</v>
      </c>
      <c r="E20" s="116">
        <f>F20/14125.2/12</f>
        <v>0.445000011799243</v>
      </c>
      <c r="F20" s="116">
        <v>75428.57</v>
      </c>
    </row>
    <row r="21" spans="1:6" ht="72.75">
      <c r="A21" s="121" t="s">
        <v>96</v>
      </c>
      <c r="B21" s="122" t="s">
        <v>97</v>
      </c>
      <c r="C21" s="56" t="s">
        <v>95</v>
      </c>
      <c r="D21" s="56" t="s">
        <v>139</v>
      </c>
      <c r="E21" s="116">
        <f>F21/14125.2/12</f>
        <v>0.17000001179924296</v>
      </c>
      <c r="F21" s="116">
        <v>28815.41</v>
      </c>
    </row>
    <row r="22" spans="1:6" ht="28.5">
      <c r="A22" s="121" t="s">
        <v>98</v>
      </c>
      <c r="B22" s="122" t="s">
        <v>99</v>
      </c>
      <c r="C22" s="56" t="s">
        <v>95</v>
      </c>
      <c r="D22" s="56" t="s">
        <v>139</v>
      </c>
      <c r="E22" s="116">
        <f>F22/14125.2/12</f>
        <v>1.4950000117992428</v>
      </c>
      <c r="F22" s="116">
        <v>253406.09</v>
      </c>
    </row>
    <row r="23" spans="1:6" ht="42.75">
      <c r="A23" s="121" t="s">
        <v>100</v>
      </c>
      <c r="B23" s="122" t="s">
        <v>101</v>
      </c>
      <c r="C23" s="56" t="s">
        <v>95</v>
      </c>
      <c r="D23" s="56" t="s">
        <v>139</v>
      </c>
      <c r="E23" s="116">
        <f>F23/14125.2/12</f>
        <v>1.2450000117992428</v>
      </c>
      <c r="F23" s="116">
        <v>211030.49</v>
      </c>
    </row>
    <row r="24" spans="1:6" ht="15">
      <c r="A24" s="30"/>
      <c r="B24" s="168" t="s">
        <v>6</v>
      </c>
      <c r="C24" s="169"/>
      <c r="D24" s="169"/>
      <c r="E24" s="169"/>
      <c r="F24" s="151"/>
    </row>
    <row r="25" spans="1:6" ht="14.25">
      <c r="A25" s="37"/>
      <c r="B25" s="75"/>
      <c r="C25" s="76"/>
      <c r="D25" s="76"/>
      <c r="E25" s="74"/>
      <c r="F25" s="74"/>
    </row>
    <row r="26" spans="1:6" ht="31.5">
      <c r="A26" s="31" t="s">
        <v>102</v>
      </c>
      <c r="B26" s="55" t="s">
        <v>19</v>
      </c>
      <c r="C26" s="123" t="s">
        <v>67</v>
      </c>
      <c r="D26" s="56" t="s">
        <v>139</v>
      </c>
      <c r="E26" s="116">
        <f aca="true" t="shared" si="0" ref="E26:E39">F26/14125.2/12</f>
        <v>0.55</v>
      </c>
      <c r="F26" s="116">
        <v>93226.32</v>
      </c>
    </row>
    <row r="27" spans="1:6" ht="14.25">
      <c r="A27" s="33" t="s">
        <v>103</v>
      </c>
      <c r="B27" s="12" t="s">
        <v>20</v>
      </c>
      <c r="C27" s="123" t="s">
        <v>67</v>
      </c>
      <c r="D27" s="56" t="s">
        <v>139</v>
      </c>
      <c r="E27" s="116">
        <f t="shared" si="0"/>
        <v>0.1900000235984859</v>
      </c>
      <c r="F27" s="116">
        <v>32205.46</v>
      </c>
    </row>
    <row r="28" spans="1:6" ht="28.5">
      <c r="A28" s="66" t="s">
        <v>104</v>
      </c>
      <c r="B28" s="67" t="s">
        <v>21</v>
      </c>
      <c r="C28" s="108" t="s">
        <v>67</v>
      </c>
      <c r="D28" s="56" t="s">
        <v>139</v>
      </c>
      <c r="E28" s="116">
        <f t="shared" si="0"/>
        <v>0.15999997640151406</v>
      </c>
      <c r="F28" s="116">
        <v>27120.38</v>
      </c>
    </row>
    <row r="29" spans="1:6" ht="42.75">
      <c r="A29" s="42" t="s">
        <v>105</v>
      </c>
      <c r="B29" s="19" t="s">
        <v>22</v>
      </c>
      <c r="C29" s="107" t="s">
        <v>67</v>
      </c>
      <c r="D29" s="56" t="s">
        <v>139</v>
      </c>
      <c r="E29" s="116">
        <f t="shared" si="0"/>
        <v>0.07999998820075703</v>
      </c>
      <c r="F29" s="116">
        <v>13560.19</v>
      </c>
    </row>
    <row r="30" spans="1:6" ht="42.75">
      <c r="A30" s="51" t="s">
        <v>32</v>
      </c>
      <c r="B30" s="52" t="s">
        <v>31</v>
      </c>
      <c r="C30" s="109" t="s">
        <v>67</v>
      </c>
      <c r="D30" s="56" t="s">
        <v>139</v>
      </c>
      <c r="E30" s="116">
        <f t="shared" si="0"/>
        <v>0.029999988200757038</v>
      </c>
      <c r="F30" s="116">
        <v>5085.07</v>
      </c>
    </row>
    <row r="31" spans="1:6" ht="42.75">
      <c r="A31" s="26" t="s">
        <v>33</v>
      </c>
      <c r="B31" s="20" t="s">
        <v>23</v>
      </c>
      <c r="C31" s="107" t="s">
        <v>67</v>
      </c>
      <c r="D31" s="56" t="s">
        <v>139</v>
      </c>
      <c r="E31" s="116">
        <f t="shared" si="0"/>
        <v>0.029999988200757038</v>
      </c>
      <c r="F31" s="116">
        <v>5085.07</v>
      </c>
    </row>
    <row r="32" spans="1:6" ht="28.5">
      <c r="A32" s="45" t="s">
        <v>34</v>
      </c>
      <c r="B32" s="38" t="s">
        <v>24</v>
      </c>
      <c r="C32" s="4" t="s">
        <v>112</v>
      </c>
      <c r="D32" s="56" t="s">
        <v>139</v>
      </c>
      <c r="E32" s="116">
        <f t="shared" si="0"/>
        <v>2.379999988200757</v>
      </c>
      <c r="F32" s="116">
        <v>403415.71</v>
      </c>
    </row>
    <row r="33" spans="1:6" ht="28.5">
      <c r="A33" s="66" t="s">
        <v>35</v>
      </c>
      <c r="B33" s="67" t="s">
        <v>25</v>
      </c>
      <c r="C33" s="130" t="s">
        <v>112</v>
      </c>
      <c r="D33" s="56" t="s">
        <v>139</v>
      </c>
      <c r="E33" s="116">
        <f t="shared" si="0"/>
        <v>1.1700000117992428</v>
      </c>
      <c r="F33" s="116">
        <v>198317.81</v>
      </c>
    </row>
    <row r="34" spans="1:6" ht="28.5">
      <c r="A34" s="42" t="s">
        <v>37</v>
      </c>
      <c r="B34" s="19" t="s">
        <v>26</v>
      </c>
      <c r="C34" s="109" t="s">
        <v>67</v>
      </c>
      <c r="D34" s="56" t="s">
        <v>139</v>
      </c>
      <c r="E34" s="116">
        <f t="shared" si="0"/>
        <v>0.7299999882007571</v>
      </c>
      <c r="F34" s="116">
        <v>123736.75</v>
      </c>
    </row>
    <row r="35" spans="1:6" ht="42.75">
      <c r="A35" s="42" t="s">
        <v>39</v>
      </c>
      <c r="B35" s="19" t="s">
        <v>27</v>
      </c>
      <c r="C35" s="109" t="s">
        <v>67</v>
      </c>
      <c r="D35" s="56" t="s">
        <v>139</v>
      </c>
      <c r="E35" s="116">
        <f t="shared" si="0"/>
        <v>0.04000002359848592</v>
      </c>
      <c r="F35" s="116">
        <v>6780.1</v>
      </c>
    </row>
    <row r="36" spans="1:6" ht="42.75">
      <c r="A36" s="66" t="s">
        <v>40</v>
      </c>
      <c r="B36" s="67" t="s">
        <v>28</v>
      </c>
      <c r="C36" s="108" t="s">
        <v>67</v>
      </c>
      <c r="D36" s="56" t="s">
        <v>139</v>
      </c>
      <c r="E36" s="116">
        <f t="shared" si="0"/>
        <v>0.429999988200757</v>
      </c>
      <c r="F36" s="116">
        <v>72886.03</v>
      </c>
    </row>
    <row r="37" spans="1:6" ht="57">
      <c r="A37" s="66" t="s">
        <v>42</v>
      </c>
      <c r="B37" s="67" t="s">
        <v>36</v>
      </c>
      <c r="C37" s="132" t="s">
        <v>67</v>
      </c>
      <c r="D37" s="56" t="s">
        <v>139</v>
      </c>
      <c r="E37" s="116">
        <f t="shared" si="0"/>
        <v>0.04000002359848592</v>
      </c>
      <c r="F37" s="116">
        <v>6780.1</v>
      </c>
    </row>
    <row r="38" spans="1:6" ht="71.25">
      <c r="A38" s="42" t="s">
        <v>44</v>
      </c>
      <c r="B38" s="19" t="s">
        <v>38</v>
      </c>
      <c r="C38" s="110" t="s">
        <v>67</v>
      </c>
      <c r="D38" s="56" t="s">
        <v>139</v>
      </c>
      <c r="E38" s="116">
        <f t="shared" si="0"/>
        <v>0.17000001179924296</v>
      </c>
      <c r="F38" s="116">
        <v>28815.41</v>
      </c>
    </row>
    <row r="39" spans="1:6" ht="28.5">
      <c r="A39" s="42" t="s">
        <v>46</v>
      </c>
      <c r="B39" s="126" t="s">
        <v>140</v>
      </c>
      <c r="C39" s="127" t="s">
        <v>112</v>
      </c>
      <c r="D39" s="115" t="s">
        <v>139</v>
      </c>
      <c r="E39" s="116">
        <f t="shared" si="0"/>
        <v>5.32564771944232</v>
      </c>
      <c r="F39" s="152">
        <v>902710.07</v>
      </c>
    </row>
    <row r="40" spans="1:6" ht="15" customHeight="1">
      <c r="A40" s="125"/>
      <c r="B40" s="170" t="s">
        <v>64</v>
      </c>
      <c r="C40" s="171"/>
      <c r="D40" s="171"/>
      <c r="E40" s="171"/>
      <c r="F40" s="153"/>
    </row>
    <row r="41" spans="1:6" ht="57">
      <c r="A41" s="26" t="s">
        <v>48</v>
      </c>
      <c r="B41" s="52" t="s">
        <v>74</v>
      </c>
      <c r="C41" s="128" t="s">
        <v>112</v>
      </c>
      <c r="D41" s="129" t="s">
        <v>139</v>
      </c>
      <c r="E41" s="116">
        <f aca="true" t="shared" si="1" ref="E41:E50">F41/14125.2/12</f>
        <v>2.115000023598486</v>
      </c>
      <c r="F41" s="116">
        <v>358497.58</v>
      </c>
    </row>
    <row r="42" spans="1:6" ht="57">
      <c r="A42" s="26" t="s">
        <v>50</v>
      </c>
      <c r="B42" s="20" t="s">
        <v>113</v>
      </c>
      <c r="C42" s="100" t="s">
        <v>69</v>
      </c>
      <c r="D42" s="56" t="s">
        <v>139</v>
      </c>
      <c r="E42" s="116">
        <f t="shared" si="1"/>
        <v>0.540000023598486</v>
      </c>
      <c r="F42" s="116">
        <v>91531.3</v>
      </c>
    </row>
    <row r="43" spans="1:6" ht="42.75">
      <c r="A43" s="45" t="s">
        <v>52</v>
      </c>
      <c r="B43" s="38" t="s">
        <v>41</v>
      </c>
      <c r="C43" s="4" t="s">
        <v>68</v>
      </c>
      <c r="D43" s="56" t="s">
        <v>139</v>
      </c>
      <c r="E43" s="116">
        <f t="shared" si="1"/>
        <v>0</v>
      </c>
      <c r="F43" s="116">
        <v>0</v>
      </c>
    </row>
    <row r="44" spans="1:6" ht="42.75">
      <c r="A44" s="66" t="s">
        <v>53</v>
      </c>
      <c r="B44" s="67" t="s">
        <v>43</v>
      </c>
      <c r="C44" s="132" t="s">
        <v>162</v>
      </c>
      <c r="D44" s="56" t="s">
        <v>139</v>
      </c>
      <c r="E44" s="116">
        <f t="shared" si="1"/>
        <v>1.1200000117992428</v>
      </c>
      <c r="F44" s="116">
        <v>189842.69</v>
      </c>
    </row>
    <row r="45" spans="1:6" ht="42.75">
      <c r="A45" s="42" t="s">
        <v>55</v>
      </c>
      <c r="B45" s="19" t="s">
        <v>45</v>
      </c>
      <c r="C45" s="132" t="s">
        <v>162</v>
      </c>
      <c r="D45" s="56" t="s">
        <v>139</v>
      </c>
      <c r="E45" s="116">
        <f t="shared" si="1"/>
        <v>1.179999988200757</v>
      </c>
      <c r="F45" s="116">
        <v>200012.83</v>
      </c>
    </row>
    <row r="46" spans="1:6" ht="42.75">
      <c r="A46" s="42" t="s">
        <v>57</v>
      </c>
      <c r="B46" s="19" t="s">
        <v>47</v>
      </c>
      <c r="C46" s="132" t="s">
        <v>162</v>
      </c>
      <c r="D46" s="56" t="s">
        <v>139</v>
      </c>
      <c r="E46" s="116">
        <f t="shared" si="1"/>
        <v>0.879999988200757</v>
      </c>
      <c r="F46" s="116">
        <v>149162.11</v>
      </c>
    </row>
    <row r="47" spans="1:6" ht="42.75">
      <c r="A47" s="42" t="s">
        <v>59</v>
      </c>
      <c r="B47" s="19" t="s">
        <v>49</v>
      </c>
      <c r="C47" s="132" t="s">
        <v>162</v>
      </c>
      <c r="D47" s="56" t="s">
        <v>139</v>
      </c>
      <c r="E47" s="116">
        <f t="shared" si="1"/>
        <v>1.7549999882007572</v>
      </c>
      <c r="F47" s="116">
        <v>297476.71</v>
      </c>
    </row>
    <row r="48" spans="1:6" ht="42.75">
      <c r="A48" s="42" t="s">
        <v>60</v>
      </c>
      <c r="B48" s="19" t="s">
        <v>51</v>
      </c>
      <c r="C48" s="132" t="s">
        <v>162</v>
      </c>
      <c r="D48" s="56" t="s">
        <v>139</v>
      </c>
      <c r="E48" s="116">
        <f t="shared" si="1"/>
        <v>1.3799999882007568</v>
      </c>
      <c r="F48" s="116">
        <v>233913.31</v>
      </c>
    </row>
    <row r="49" spans="1:6" ht="57">
      <c r="A49" s="98" t="s">
        <v>61</v>
      </c>
      <c r="B49" s="20" t="s">
        <v>121</v>
      </c>
      <c r="C49" s="111" t="s">
        <v>68</v>
      </c>
      <c r="D49" s="56" t="s">
        <v>139</v>
      </c>
      <c r="E49" s="116">
        <f t="shared" si="1"/>
        <v>0.279999988200757</v>
      </c>
      <c r="F49" s="116">
        <v>47460.67</v>
      </c>
    </row>
    <row r="50" spans="1:6" ht="114">
      <c r="A50" s="26" t="s">
        <v>62</v>
      </c>
      <c r="B50" s="39" t="s">
        <v>122</v>
      </c>
      <c r="C50" s="158" t="s">
        <v>123</v>
      </c>
      <c r="D50" s="56" t="s">
        <v>139</v>
      </c>
      <c r="E50" s="116">
        <f t="shared" si="1"/>
        <v>8.554914207704433</v>
      </c>
      <c r="F50" s="116">
        <v>1450078.49</v>
      </c>
    </row>
    <row r="51" spans="1:6" ht="15" customHeight="1">
      <c r="A51" s="25"/>
      <c r="B51" s="170" t="s">
        <v>65</v>
      </c>
      <c r="C51" s="171"/>
      <c r="D51" s="171"/>
      <c r="E51" s="171"/>
      <c r="F51" s="153"/>
    </row>
    <row r="52" spans="1:6" ht="42.75">
      <c r="A52" s="26" t="s">
        <v>63</v>
      </c>
      <c r="B52" s="20" t="s">
        <v>54</v>
      </c>
      <c r="C52" s="85" t="s">
        <v>112</v>
      </c>
      <c r="D52" s="56" t="s">
        <v>139</v>
      </c>
      <c r="E52" s="116">
        <f aca="true" t="shared" si="2" ref="E52:E62">F52/14125.2/12</f>
        <v>1.509999976401514</v>
      </c>
      <c r="F52" s="116">
        <v>255948.62</v>
      </c>
    </row>
    <row r="53" spans="1:6" ht="42.75">
      <c r="A53" s="42" t="s">
        <v>75</v>
      </c>
      <c r="B53" s="19" t="s">
        <v>56</v>
      </c>
      <c r="C53" s="112" t="s">
        <v>69</v>
      </c>
      <c r="D53" s="56" t="s">
        <v>139</v>
      </c>
      <c r="E53" s="116">
        <f t="shared" si="2"/>
        <v>0.009999976401514078</v>
      </c>
      <c r="F53" s="116">
        <v>1695.02</v>
      </c>
    </row>
    <row r="54" spans="1:6" ht="57">
      <c r="A54" s="42" t="s">
        <v>85</v>
      </c>
      <c r="B54" s="19" t="s">
        <v>58</v>
      </c>
      <c r="C54" s="16" t="s">
        <v>112</v>
      </c>
      <c r="D54" s="56" t="s">
        <v>139</v>
      </c>
      <c r="E54" s="116">
        <f t="shared" si="2"/>
        <v>1.5799999882007567</v>
      </c>
      <c r="F54" s="116">
        <v>267813.79</v>
      </c>
    </row>
    <row r="55" spans="1:6" ht="57">
      <c r="A55" s="42" t="s">
        <v>86</v>
      </c>
      <c r="B55" s="19" t="s">
        <v>124</v>
      </c>
      <c r="C55" s="124" t="s">
        <v>67</v>
      </c>
      <c r="D55" s="56" t="s">
        <v>139</v>
      </c>
      <c r="E55" s="116">
        <f t="shared" si="2"/>
        <v>0.12999998820075703</v>
      </c>
      <c r="F55" s="116">
        <v>22035.31</v>
      </c>
    </row>
    <row r="56" spans="1:6" ht="57">
      <c r="A56" s="45" t="s">
        <v>125</v>
      </c>
      <c r="B56" s="38" t="s">
        <v>126</v>
      </c>
      <c r="C56" s="113" t="s">
        <v>71</v>
      </c>
      <c r="D56" s="56" t="s">
        <v>139</v>
      </c>
      <c r="E56" s="116">
        <f t="shared" si="2"/>
        <v>0.7400000235984859</v>
      </c>
      <c r="F56" s="116">
        <v>125431.78</v>
      </c>
    </row>
    <row r="57" spans="1:6" ht="31.5">
      <c r="A57" s="26" t="s">
        <v>127</v>
      </c>
      <c r="B57" s="101" t="s">
        <v>30</v>
      </c>
      <c r="C57" s="111" t="s">
        <v>128</v>
      </c>
      <c r="D57" s="56" t="s">
        <v>139</v>
      </c>
      <c r="E57" s="116">
        <f t="shared" si="2"/>
        <v>3.3650000235984856</v>
      </c>
      <c r="F57" s="116">
        <v>570375.58</v>
      </c>
    </row>
    <row r="58" spans="1:6" ht="28.5">
      <c r="A58" s="26" t="s">
        <v>129</v>
      </c>
      <c r="B58" s="67" t="s">
        <v>73</v>
      </c>
      <c r="C58" s="162" t="s">
        <v>16</v>
      </c>
      <c r="D58" s="56" t="s">
        <v>139</v>
      </c>
      <c r="E58" s="116">
        <f t="shared" si="2"/>
        <v>0.279999988200757</v>
      </c>
      <c r="F58" s="116">
        <v>47460.67</v>
      </c>
    </row>
    <row r="59" spans="1:6" ht="14.25">
      <c r="A59" s="87" t="s">
        <v>131</v>
      </c>
      <c r="B59" s="88" t="s">
        <v>130</v>
      </c>
      <c r="C59" s="114" t="s">
        <v>16</v>
      </c>
      <c r="D59" s="56" t="s">
        <v>139</v>
      </c>
      <c r="E59" s="116">
        <f t="shared" si="2"/>
        <v>0.08550940871633676</v>
      </c>
      <c r="F59" s="116">
        <f>10163.03+2165.51+2165.51</f>
        <v>14494.050000000001</v>
      </c>
    </row>
    <row r="60" spans="1:6" ht="14.25">
      <c r="A60" s="87" t="s">
        <v>142</v>
      </c>
      <c r="B60" s="88" t="s">
        <v>132</v>
      </c>
      <c r="C60" s="114" t="s">
        <v>16</v>
      </c>
      <c r="D60" s="56" t="s">
        <v>139</v>
      </c>
      <c r="E60" s="116">
        <f t="shared" si="2"/>
        <v>0.01564025052152654</v>
      </c>
      <c r="F60" s="116">
        <f>1907.52+371.77+371.77</f>
        <v>2651.06</v>
      </c>
    </row>
    <row r="61" spans="1:6" ht="14.25">
      <c r="A61" s="87" t="s">
        <v>143</v>
      </c>
      <c r="B61" s="88" t="s">
        <v>141</v>
      </c>
      <c r="C61" s="114" t="s">
        <v>16</v>
      </c>
      <c r="D61" s="56" t="s">
        <v>139</v>
      </c>
      <c r="E61" s="116">
        <f t="shared" si="2"/>
        <v>0.020666433041656048</v>
      </c>
      <c r="F61" s="116">
        <v>3503.01</v>
      </c>
    </row>
    <row r="62" spans="1:6" ht="14.25">
      <c r="A62" s="87" t="s">
        <v>144</v>
      </c>
      <c r="B62" s="88" t="s">
        <v>133</v>
      </c>
      <c r="C62" s="114" t="s">
        <v>16</v>
      </c>
      <c r="D62" s="56" t="s">
        <v>139</v>
      </c>
      <c r="E62" s="116">
        <f t="shared" si="2"/>
        <v>0.8772229773737715</v>
      </c>
      <c r="F62" s="116">
        <f>97389.71+22845.29+22845.29+5611.11</f>
        <v>148691.4</v>
      </c>
    </row>
    <row r="63" spans="1:6" ht="8.25" customHeight="1" hidden="1">
      <c r="A63" s="26"/>
      <c r="B63" s="101" t="s">
        <v>145</v>
      </c>
      <c r="C63" s="17"/>
      <c r="D63" s="86"/>
      <c r="E63" s="133"/>
      <c r="F63" s="133">
        <f>F58+F57+F56+F55+F54+F53+F52+F50+F49+F48+F47+F46+F45+F44+F43+F42+F41+F39+F38+F37+F36+F35+F34+F33+F32+F31+F30+F29+F28+F27+F26+F23+F22+F21+F20</f>
        <v>6797141.49</v>
      </c>
    </row>
    <row r="64" spans="1:6" ht="15.75" hidden="1">
      <c r="A64" s="77"/>
      <c r="B64" s="84"/>
      <c r="C64" s="81"/>
      <c r="D64" s="120"/>
      <c r="E64" s="117"/>
      <c r="F64" s="96"/>
    </row>
    <row r="65" spans="1:6" ht="31.5">
      <c r="A65" s="99"/>
      <c r="B65" s="104" t="s">
        <v>134</v>
      </c>
      <c r="C65" s="105"/>
      <c r="D65" s="56"/>
      <c r="E65" s="102"/>
      <c r="F65" s="102">
        <f>F63+F62+F61+F60+F59</f>
        <v>6966481.01</v>
      </c>
    </row>
  </sheetData>
  <sheetProtection/>
  <mergeCells count="3">
    <mergeCell ref="B40:E40"/>
    <mergeCell ref="B24:E24"/>
    <mergeCell ref="B51:E5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F65"/>
  <sheetViews>
    <sheetView zoomScalePageLayoutView="0" workbookViewId="0" topLeftCell="A1">
      <selection activeCell="C33" sqref="C33"/>
    </sheetView>
  </sheetViews>
  <sheetFormatPr defaultColWidth="9.140625" defaultRowHeight="12"/>
  <cols>
    <col min="2" max="2" width="42.7109375" style="0" customWidth="1"/>
    <col min="3" max="3" width="12.8515625" style="0" customWidth="1"/>
    <col min="5" max="5" width="13.57421875" style="0" customWidth="1"/>
    <col min="6" max="6" width="17.8515625" style="0" customWidth="1"/>
  </cols>
  <sheetData>
    <row r="3" ht="15">
      <c r="B3" s="1" t="s">
        <v>146</v>
      </c>
    </row>
    <row r="4" ht="15">
      <c r="B4" s="1"/>
    </row>
    <row r="5" ht="18.75">
      <c r="B5" s="14" t="s">
        <v>153</v>
      </c>
    </row>
    <row r="8" ht="2.25" customHeight="1"/>
    <row r="9" ht="12" hidden="1"/>
    <row r="10" ht="12" hidden="1"/>
    <row r="11" ht="12" hidden="1"/>
    <row r="12" ht="12" hidden="1"/>
    <row r="13" ht="12" hidden="1"/>
    <row r="14" ht="12" hidden="1"/>
    <row r="15" ht="12" hidden="1"/>
    <row r="16" ht="12" hidden="1"/>
    <row r="17" ht="12" hidden="1"/>
    <row r="18" ht="12" hidden="1"/>
    <row r="19" spans="1:6" ht="99.75">
      <c r="A19" s="121" t="s">
        <v>0</v>
      </c>
      <c r="B19" s="85" t="s">
        <v>88</v>
      </c>
      <c r="C19" s="56" t="s">
        <v>89</v>
      </c>
      <c r="D19" s="56" t="s">
        <v>138</v>
      </c>
      <c r="E19" s="56" t="s">
        <v>90</v>
      </c>
      <c r="F19" s="56" t="s">
        <v>135</v>
      </c>
    </row>
    <row r="20" spans="1:6" ht="14.25">
      <c r="A20" s="121" t="s">
        <v>93</v>
      </c>
      <c r="B20" s="85" t="s">
        <v>94</v>
      </c>
      <c r="C20" s="56" t="s">
        <v>95</v>
      </c>
      <c r="D20" s="56" t="s">
        <v>139</v>
      </c>
      <c r="E20" s="116">
        <f>F20/14015/12</f>
        <v>0.449927042454513</v>
      </c>
      <c r="F20" s="116">
        <v>75668.73</v>
      </c>
    </row>
    <row r="21" spans="1:6" ht="72.75">
      <c r="A21" s="121" t="s">
        <v>96</v>
      </c>
      <c r="B21" s="122" t="s">
        <v>97</v>
      </c>
      <c r="C21" s="56" t="s">
        <v>95</v>
      </c>
      <c r="D21" s="56" t="s">
        <v>139</v>
      </c>
      <c r="E21" s="116">
        <f>F21/14015/12</f>
        <v>0.17394161017956952</v>
      </c>
      <c r="F21" s="116">
        <v>29253.5</v>
      </c>
    </row>
    <row r="22" spans="1:6" ht="14.25">
      <c r="A22" s="121" t="s">
        <v>98</v>
      </c>
      <c r="B22" s="122" t="s">
        <v>99</v>
      </c>
      <c r="C22" s="56" t="s">
        <v>95</v>
      </c>
      <c r="D22" s="56" t="s">
        <v>139</v>
      </c>
      <c r="E22" s="116">
        <f>F22/14015/12</f>
        <v>1.5107665596384825</v>
      </c>
      <c r="F22" s="116">
        <v>254080.72</v>
      </c>
    </row>
    <row r="23" spans="1:6" ht="42.75">
      <c r="A23" s="121" t="s">
        <v>100</v>
      </c>
      <c r="B23" s="122" t="s">
        <v>101</v>
      </c>
      <c r="C23" s="56" t="s">
        <v>95</v>
      </c>
      <c r="D23" s="56" t="s">
        <v>139</v>
      </c>
      <c r="E23" s="116">
        <f>F23/14015/12</f>
        <v>1.2528832798192413</v>
      </c>
      <c r="F23" s="116">
        <v>210709.91</v>
      </c>
    </row>
    <row r="24" spans="1:6" ht="15">
      <c r="A24" s="30"/>
      <c r="B24" s="168" t="s">
        <v>6</v>
      </c>
      <c r="C24" s="169"/>
      <c r="D24" s="169"/>
      <c r="E24" s="169"/>
      <c r="F24" s="151"/>
    </row>
    <row r="25" spans="1:6" ht="14.25">
      <c r="A25" s="37"/>
      <c r="B25" s="75"/>
      <c r="C25" s="76"/>
      <c r="D25" s="76"/>
      <c r="E25" s="74"/>
      <c r="F25" s="74"/>
    </row>
    <row r="26" spans="1:6" ht="31.5">
      <c r="A26" s="31" t="s">
        <v>102</v>
      </c>
      <c r="B26" s="55" t="s">
        <v>19</v>
      </c>
      <c r="C26" s="123" t="s">
        <v>67</v>
      </c>
      <c r="D26" s="56" t="s">
        <v>139</v>
      </c>
      <c r="E26" s="116">
        <f aca="true" t="shared" si="0" ref="E26:E39">F26/14015/12</f>
        <v>0.5578832798192412</v>
      </c>
      <c r="F26" s="116">
        <v>93824.81</v>
      </c>
    </row>
    <row r="27" spans="1:6" ht="14.25">
      <c r="A27" s="33" t="s">
        <v>103</v>
      </c>
      <c r="B27" s="12" t="s">
        <v>20</v>
      </c>
      <c r="C27" s="123" t="s">
        <v>67</v>
      </c>
      <c r="D27" s="56" t="s">
        <v>139</v>
      </c>
      <c r="E27" s="116">
        <f t="shared" si="0"/>
        <v>0.19394161017956948</v>
      </c>
      <c r="F27" s="116">
        <v>32617.1</v>
      </c>
    </row>
    <row r="28" spans="1:6" ht="28.5">
      <c r="A28" s="66" t="s">
        <v>104</v>
      </c>
      <c r="B28" s="67" t="s">
        <v>21</v>
      </c>
      <c r="C28" s="108" t="s">
        <v>67</v>
      </c>
      <c r="D28" s="56" t="s">
        <v>139</v>
      </c>
      <c r="E28" s="116">
        <f t="shared" si="0"/>
        <v>0.15228897609703887</v>
      </c>
      <c r="F28" s="116">
        <v>25611.96</v>
      </c>
    </row>
    <row r="29" spans="1:6" ht="42.75">
      <c r="A29" s="42" t="s">
        <v>105</v>
      </c>
      <c r="B29" s="19" t="s">
        <v>22</v>
      </c>
      <c r="C29" s="107" t="s">
        <v>67</v>
      </c>
      <c r="D29" s="56" t="s">
        <v>139</v>
      </c>
      <c r="E29" s="116">
        <f t="shared" si="0"/>
        <v>0.07045231299797836</v>
      </c>
      <c r="F29" s="116">
        <v>11848.67</v>
      </c>
    </row>
    <row r="30" spans="1:6" ht="42.75">
      <c r="A30" s="51" t="s">
        <v>32</v>
      </c>
      <c r="B30" s="52" t="s">
        <v>31</v>
      </c>
      <c r="C30" s="109" t="s">
        <v>67</v>
      </c>
      <c r="D30" s="56" t="s">
        <v>139</v>
      </c>
      <c r="E30" s="116">
        <f t="shared" si="0"/>
        <v>0.03</v>
      </c>
      <c r="F30" s="116">
        <v>5045.4</v>
      </c>
    </row>
    <row r="31" spans="1:6" ht="42.75">
      <c r="A31" s="26" t="s">
        <v>33</v>
      </c>
      <c r="B31" s="20" t="s">
        <v>23</v>
      </c>
      <c r="C31" s="107" t="s">
        <v>67</v>
      </c>
      <c r="D31" s="56" t="s">
        <v>139</v>
      </c>
      <c r="E31" s="116">
        <f t="shared" si="0"/>
        <v>0.03</v>
      </c>
      <c r="F31" s="116">
        <v>5045.4</v>
      </c>
    </row>
    <row r="32" spans="1:6" ht="28.5">
      <c r="A32" s="45" t="s">
        <v>34</v>
      </c>
      <c r="B32" s="38" t="s">
        <v>24</v>
      </c>
      <c r="C32" s="4" t="s">
        <v>112</v>
      </c>
      <c r="D32" s="56" t="s">
        <v>139</v>
      </c>
      <c r="E32" s="116">
        <f t="shared" si="0"/>
        <v>2.4706575692710193</v>
      </c>
      <c r="F32" s="116">
        <v>415515.19</v>
      </c>
    </row>
    <row r="33" spans="1:6" ht="28.5">
      <c r="A33" s="66" t="s">
        <v>35</v>
      </c>
      <c r="B33" s="67" t="s">
        <v>25</v>
      </c>
      <c r="C33" s="4" t="s">
        <v>112</v>
      </c>
      <c r="D33" s="56" t="s">
        <v>139</v>
      </c>
      <c r="E33" s="116">
        <f t="shared" si="0"/>
        <v>1.1857665596384825</v>
      </c>
      <c r="F33" s="116">
        <v>199422.22</v>
      </c>
    </row>
    <row r="34" spans="1:6" ht="28.5">
      <c r="A34" s="42" t="s">
        <v>37</v>
      </c>
      <c r="B34" s="19" t="s">
        <v>26</v>
      </c>
      <c r="C34" s="109" t="s">
        <v>67</v>
      </c>
      <c r="D34" s="56" t="s">
        <v>139</v>
      </c>
      <c r="E34" s="116">
        <f t="shared" si="0"/>
        <v>0.7398540849090262</v>
      </c>
      <c r="F34" s="116">
        <v>124428.66</v>
      </c>
    </row>
    <row r="35" spans="1:6" ht="28.5">
      <c r="A35" s="42" t="s">
        <v>39</v>
      </c>
      <c r="B35" s="19" t="s">
        <v>27</v>
      </c>
      <c r="C35" s="109" t="s">
        <v>67</v>
      </c>
      <c r="D35" s="56" t="s">
        <v>139</v>
      </c>
      <c r="E35" s="116">
        <f t="shared" si="0"/>
        <v>0.041970805089784756</v>
      </c>
      <c r="F35" s="116">
        <v>7058.65</v>
      </c>
    </row>
    <row r="36" spans="1:6" ht="42.75">
      <c r="A36" s="66" t="s">
        <v>40</v>
      </c>
      <c r="B36" s="67" t="s">
        <v>28</v>
      </c>
      <c r="C36" s="108" t="s">
        <v>67</v>
      </c>
      <c r="D36" s="56" t="s">
        <v>139</v>
      </c>
      <c r="E36" s="116">
        <f t="shared" si="0"/>
        <v>0.43788327981924136</v>
      </c>
      <c r="F36" s="116">
        <v>73643.21</v>
      </c>
    </row>
    <row r="37" spans="1:6" ht="57">
      <c r="A37" s="66" t="s">
        <v>42</v>
      </c>
      <c r="B37" s="67" t="s">
        <v>36</v>
      </c>
      <c r="C37" s="132" t="s">
        <v>67</v>
      </c>
      <c r="D37" s="56" t="s">
        <v>139</v>
      </c>
      <c r="E37" s="116">
        <f t="shared" si="0"/>
        <v>0.041970805089784756</v>
      </c>
      <c r="F37" s="116">
        <v>7058.65</v>
      </c>
    </row>
    <row r="38" spans="1:6" ht="71.25">
      <c r="A38" s="42" t="s">
        <v>44</v>
      </c>
      <c r="B38" s="19" t="s">
        <v>38</v>
      </c>
      <c r="C38" s="110" t="s">
        <v>67</v>
      </c>
      <c r="D38" s="56" t="s">
        <v>139</v>
      </c>
      <c r="E38" s="116">
        <f t="shared" si="0"/>
        <v>0.17197080508978477</v>
      </c>
      <c r="F38" s="116">
        <v>28922.05</v>
      </c>
    </row>
    <row r="39" spans="1:6" ht="14.25">
      <c r="A39" s="42" t="s">
        <v>46</v>
      </c>
      <c r="B39" s="126" t="s">
        <v>140</v>
      </c>
      <c r="C39" s="127" t="s">
        <v>112</v>
      </c>
      <c r="D39" s="115" t="s">
        <v>139</v>
      </c>
      <c r="E39" s="116">
        <f t="shared" si="0"/>
        <v>0</v>
      </c>
      <c r="F39" s="152">
        <v>0</v>
      </c>
    </row>
    <row r="40" spans="1:6" ht="15" customHeight="1">
      <c r="A40" s="125"/>
      <c r="B40" s="170" t="s">
        <v>64</v>
      </c>
      <c r="C40" s="171"/>
      <c r="D40" s="171"/>
      <c r="E40" s="171"/>
      <c r="F40" s="153"/>
    </row>
    <row r="41" spans="1:6" ht="57">
      <c r="A41" s="26" t="s">
        <v>48</v>
      </c>
      <c r="B41" s="52" t="s">
        <v>74</v>
      </c>
      <c r="C41" s="128"/>
      <c r="D41" s="129" t="s">
        <v>139</v>
      </c>
      <c r="E41" s="116">
        <f>F41/14015/12</f>
        <v>2.1337227375431085</v>
      </c>
      <c r="F41" s="116">
        <v>358849.49</v>
      </c>
    </row>
    <row r="42" spans="1:6" ht="42.75">
      <c r="A42" s="26" t="s">
        <v>50</v>
      </c>
      <c r="B42" s="20" t="s">
        <v>113</v>
      </c>
      <c r="C42" s="100" t="s">
        <v>69</v>
      </c>
      <c r="D42" s="56" t="s">
        <v>139</v>
      </c>
      <c r="E42" s="116">
        <f>F42/14015/12</f>
        <v>0.5478832798192412</v>
      </c>
      <c r="F42" s="116">
        <v>92143.01</v>
      </c>
    </row>
    <row r="43" spans="1:6" ht="42.75">
      <c r="A43" s="45" t="s">
        <v>52</v>
      </c>
      <c r="B43" s="38" t="s">
        <v>41</v>
      </c>
      <c r="C43" s="106" t="s">
        <v>68</v>
      </c>
      <c r="D43" s="56" t="s">
        <v>139</v>
      </c>
      <c r="E43" s="56">
        <v>0</v>
      </c>
      <c r="F43" s="116">
        <v>0</v>
      </c>
    </row>
    <row r="44" spans="1:6" ht="42.75">
      <c r="A44" s="66" t="s">
        <v>53</v>
      </c>
      <c r="B44" s="67" t="s">
        <v>43</v>
      </c>
      <c r="C44" s="132" t="s">
        <v>162</v>
      </c>
      <c r="D44" s="56" t="s">
        <v>139</v>
      </c>
      <c r="E44" s="116">
        <f aca="true" t="shared" si="1" ref="E44:E50">F44/14015/12</f>
        <v>1.1357665596384827</v>
      </c>
      <c r="F44" s="116">
        <v>191013.22</v>
      </c>
    </row>
    <row r="45" spans="1:6" ht="42.75">
      <c r="A45" s="42" t="s">
        <v>55</v>
      </c>
      <c r="B45" s="19" t="s">
        <v>45</v>
      </c>
      <c r="C45" s="132" t="s">
        <v>162</v>
      </c>
      <c r="D45" s="56" t="s">
        <v>139</v>
      </c>
      <c r="E45" s="116">
        <f t="shared" si="1"/>
        <v>1.1977373647282674</v>
      </c>
      <c r="F45" s="116">
        <v>201435.47</v>
      </c>
    </row>
    <row r="46" spans="1:6" ht="42.75">
      <c r="A46" s="42" t="s">
        <v>57</v>
      </c>
      <c r="B46" s="19" t="s">
        <v>47</v>
      </c>
      <c r="C46" s="132" t="s">
        <v>162</v>
      </c>
      <c r="D46" s="56" t="s">
        <v>139</v>
      </c>
      <c r="E46" s="116">
        <f t="shared" si="1"/>
        <v>0.8937956950885955</v>
      </c>
      <c r="F46" s="116">
        <v>150318.56</v>
      </c>
    </row>
    <row r="47" spans="1:6" ht="42.75">
      <c r="A47" s="42" t="s">
        <v>59</v>
      </c>
      <c r="B47" s="19" t="s">
        <v>49</v>
      </c>
      <c r="C47" s="132" t="s">
        <v>162</v>
      </c>
      <c r="D47" s="56" t="s">
        <v>139</v>
      </c>
      <c r="E47" s="116">
        <f t="shared" si="1"/>
        <v>1.786533059816863</v>
      </c>
      <c r="F47" s="116">
        <v>300459.13</v>
      </c>
    </row>
    <row r="48" spans="1:6" ht="42.75">
      <c r="A48" s="42" t="s">
        <v>60</v>
      </c>
      <c r="B48" s="19" t="s">
        <v>51</v>
      </c>
      <c r="C48" s="132" t="s">
        <v>162</v>
      </c>
      <c r="D48" s="56" t="s">
        <v>139</v>
      </c>
      <c r="E48" s="116">
        <f t="shared" si="1"/>
        <v>1.3997081698180522</v>
      </c>
      <c r="F48" s="116">
        <v>235402.92</v>
      </c>
    </row>
    <row r="49" spans="1:6" ht="57">
      <c r="A49" s="98" t="s">
        <v>61</v>
      </c>
      <c r="B49" s="20" t="s">
        <v>121</v>
      </c>
      <c r="C49" s="111" t="s">
        <v>68</v>
      </c>
      <c r="D49" s="56" t="s">
        <v>139</v>
      </c>
      <c r="E49" s="116">
        <f t="shared" si="1"/>
        <v>0.22481710072541325</v>
      </c>
      <c r="F49" s="116">
        <v>37809.74</v>
      </c>
    </row>
    <row r="50" spans="1:6" ht="114">
      <c r="A50" s="26" t="s">
        <v>62</v>
      </c>
      <c r="B50" s="39" t="s">
        <v>122</v>
      </c>
      <c r="C50" s="158" t="s">
        <v>123</v>
      </c>
      <c r="D50" s="56" t="s">
        <v>139</v>
      </c>
      <c r="E50" s="116">
        <f t="shared" si="1"/>
        <v>8.669850814603402</v>
      </c>
      <c r="F50" s="116">
        <v>1458095.51</v>
      </c>
    </row>
    <row r="51" spans="1:6" ht="15" customHeight="1">
      <c r="A51" s="25"/>
      <c r="B51" s="170" t="s">
        <v>65</v>
      </c>
      <c r="C51" s="171"/>
      <c r="D51" s="171"/>
      <c r="E51" s="171"/>
      <c r="F51" s="153"/>
    </row>
    <row r="52" spans="1:6" ht="42.75">
      <c r="A52" s="26" t="s">
        <v>63</v>
      </c>
      <c r="B52" s="20" t="s">
        <v>54</v>
      </c>
      <c r="C52" s="85" t="s">
        <v>112</v>
      </c>
      <c r="D52" s="56" t="s">
        <v>139</v>
      </c>
      <c r="E52" s="116">
        <f aca="true" t="shared" si="2" ref="E52:E62">F52/14015/12</f>
        <v>1.55927042454513</v>
      </c>
      <c r="F52" s="116">
        <v>262238.1</v>
      </c>
    </row>
    <row r="53" spans="1:6" ht="42.75">
      <c r="A53" s="42" t="s">
        <v>75</v>
      </c>
      <c r="B53" s="19" t="s">
        <v>56</v>
      </c>
      <c r="C53" s="112" t="s">
        <v>69</v>
      </c>
      <c r="D53" s="56" t="s">
        <v>139</v>
      </c>
      <c r="E53" s="116">
        <f t="shared" si="2"/>
        <v>0.01</v>
      </c>
      <c r="F53" s="116">
        <v>1681.8</v>
      </c>
    </row>
    <row r="54" spans="1:6" ht="42.75">
      <c r="A54" s="42" t="s">
        <v>85</v>
      </c>
      <c r="B54" s="19" t="s">
        <v>58</v>
      </c>
      <c r="C54" s="16" t="s">
        <v>112</v>
      </c>
      <c r="D54" s="56" t="s">
        <v>139</v>
      </c>
      <c r="E54" s="116">
        <f t="shared" si="2"/>
        <v>1.609562254727078</v>
      </c>
      <c r="F54" s="116">
        <v>270696.18</v>
      </c>
    </row>
    <row r="55" spans="1:6" ht="42.75">
      <c r="A55" s="42" t="s">
        <v>86</v>
      </c>
      <c r="B55" s="19" t="s">
        <v>124</v>
      </c>
      <c r="C55" s="124" t="s">
        <v>67</v>
      </c>
      <c r="D55" s="56" t="s">
        <v>139</v>
      </c>
      <c r="E55" s="116">
        <f t="shared" si="2"/>
        <v>0.13197080508978473</v>
      </c>
      <c r="F55" s="116">
        <v>22194.85</v>
      </c>
    </row>
    <row r="56" spans="1:6" ht="57">
      <c r="A56" s="45" t="s">
        <v>125</v>
      </c>
      <c r="B56" s="38" t="s">
        <v>126</v>
      </c>
      <c r="C56" s="113" t="s">
        <v>71</v>
      </c>
      <c r="D56" s="56" t="s">
        <v>139</v>
      </c>
      <c r="E56" s="116">
        <f t="shared" si="2"/>
        <v>0.7518248899988108</v>
      </c>
      <c r="F56" s="116">
        <v>126441.91</v>
      </c>
    </row>
    <row r="57" spans="1:6" ht="31.5">
      <c r="A57" s="26" t="s">
        <v>127</v>
      </c>
      <c r="B57" s="101" t="s">
        <v>30</v>
      </c>
      <c r="C57" s="111" t="s">
        <v>128</v>
      </c>
      <c r="D57" s="56" t="s">
        <v>139</v>
      </c>
      <c r="E57" s="116">
        <f t="shared" si="2"/>
        <v>3.3906206445475084</v>
      </c>
      <c r="F57" s="116">
        <v>570234.58</v>
      </c>
    </row>
    <row r="58" spans="1:6" ht="28.5">
      <c r="A58" s="26" t="s">
        <v>129</v>
      </c>
      <c r="B58" s="67" t="s">
        <v>73</v>
      </c>
      <c r="C58" s="114" t="s">
        <v>16</v>
      </c>
      <c r="D58" s="56" t="s">
        <v>139</v>
      </c>
      <c r="E58" s="116">
        <f t="shared" si="2"/>
        <v>0.28394161017956954</v>
      </c>
      <c r="F58" s="116">
        <v>47753.3</v>
      </c>
    </row>
    <row r="59" spans="1:6" ht="14.25">
      <c r="A59" s="87" t="s">
        <v>131</v>
      </c>
      <c r="B59" s="88" t="s">
        <v>130</v>
      </c>
      <c r="C59" s="114" t="s">
        <v>16</v>
      </c>
      <c r="D59" s="56" t="s">
        <v>139</v>
      </c>
      <c r="E59" s="116">
        <f t="shared" si="2"/>
        <v>0.16769544535616598</v>
      </c>
      <c r="F59" s="116">
        <f>19887.21+8315.81</f>
        <v>28203.019999999997</v>
      </c>
    </row>
    <row r="60" spans="1:6" ht="14.25">
      <c r="A60" s="87" t="s">
        <v>142</v>
      </c>
      <c r="B60" s="88" t="s">
        <v>132</v>
      </c>
      <c r="C60" s="114" t="s">
        <v>16</v>
      </c>
      <c r="D60" s="56" t="s">
        <v>139</v>
      </c>
      <c r="E60" s="116">
        <f t="shared" si="2"/>
        <v>0.036445772386728505</v>
      </c>
      <c r="F60" s="116">
        <f>3657.96+2471.49</f>
        <v>6129.45</v>
      </c>
    </row>
    <row r="61" spans="1:6" ht="14.25">
      <c r="A61" s="87" t="s">
        <v>143</v>
      </c>
      <c r="B61" s="88" t="s">
        <v>141</v>
      </c>
      <c r="C61" s="114" t="s">
        <v>16</v>
      </c>
      <c r="D61" s="56" t="s">
        <v>139</v>
      </c>
      <c r="E61" s="116">
        <f t="shared" si="2"/>
        <v>0.013666726126768938</v>
      </c>
      <c r="F61" s="116">
        <v>2298.47</v>
      </c>
    </row>
    <row r="62" spans="1:6" ht="12.75" customHeight="1">
      <c r="A62" s="87" t="s">
        <v>144</v>
      </c>
      <c r="B62" s="88" t="s">
        <v>133</v>
      </c>
      <c r="C62" s="114" t="s">
        <v>16</v>
      </c>
      <c r="D62" s="56" t="s">
        <v>139</v>
      </c>
      <c r="E62" s="116">
        <f t="shared" si="2"/>
        <v>1.0794448804851944</v>
      </c>
      <c r="F62" s="116">
        <f>181541.04</f>
        <v>181541.04</v>
      </c>
    </row>
    <row r="63" spans="1:6" ht="31.5" hidden="1">
      <c r="A63" s="26"/>
      <c r="B63" s="101" t="s">
        <v>145</v>
      </c>
      <c r="C63" s="17"/>
      <c r="D63" s="86"/>
      <c r="E63" s="133"/>
      <c r="F63" s="133">
        <f>F58+F57+F56+F55+F54+F53+F52+F50+F49+F48+F47+F46+F45+F44+F43+F42+F41+F39+F38+F37+F36+F35+F34+F33+F32+F31+F30+F29+F28+F27+F26+F23+F22+F21+F20</f>
        <v>5926522.6000000015</v>
      </c>
    </row>
    <row r="64" spans="1:6" ht="15.75" hidden="1">
      <c r="A64" s="77"/>
      <c r="B64" s="84"/>
      <c r="C64" s="81"/>
      <c r="D64" s="120"/>
      <c r="E64" s="117"/>
      <c r="F64" s="96"/>
    </row>
    <row r="65" spans="1:6" ht="31.5">
      <c r="A65" s="99"/>
      <c r="B65" s="104" t="s">
        <v>134</v>
      </c>
      <c r="C65" s="105"/>
      <c r="D65" s="56"/>
      <c r="E65" s="102"/>
      <c r="F65" s="102">
        <f>F63+F62+F61+F60+F59</f>
        <v>6144694.580000001</v>
      </c>
    </row>
  </sheetData>
  <sheetProtection/>
  <mergeCells count="3">
    <mergeCell ref="B40:E40"/>
    <mergeCell ref="B24:E24"/>
    <mergeCell ref="B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natali</cp:lastModifiedBy>
  <cp:lastPrinted>2018-02-07T06:04:42Z</cp:lastPrinted>
  <dcterms:created xsi:type="dcterms:W3CDTF">2016-01-29T12:52:34Z</dcterms:created>
  <dcterms:modified xsi:type="dcterms:W3CDTF">2018-03-23T11:59:39Z</dcterms:modified>
  <cp:category>Test result file</cp:category>
  <cp:version/>
  <cp:contentType/>
  <cp:contentStatus/>
</cp:coreProperties>
</file>